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June Posting/Cost Adjustment Workpapers/"/>
    </mc:Choice>
  </mc:AlternateContent>
  <xr:revisionPtr revIDLastSave="40" documentId="8_{F76E4F8C-60F4-45F0-9910-793DFCFB7D00}" xr6:coauthVersionLast="47" xr6:coauthVersionMax="47" xr10:uidLastSave="{92AD3A2B-206B-4285-BCE4-5D89ADCB7755}"/>
  <bookViews>
    <workbookView xWindow="-120" yWindow="-120" windowWidth="29040" windowHeight="15840" tabRatio="823" activeTab="6" xr2:uid="{63C4FE05-62F5-42D9-B3BC-D37D58265783}"/>
  </bookViews>
  <sheets>
    <sheet name="Pg1 TO5 C5 FERC Adder Refund" sheetId="1" r:id="rId1"/>
    <sheet name="Pg2 BK-1 Comparison TO5 C5 " sheetId="4" r:id="rId2"/>
    <sheet name="Pg3 BK-1 TO5 C5_Revised" sheetId="104" r:id="rId3"/>
    <sheet name="Pg4 BK-1 TO5 C5_As Filed" sheetId="103" r:id="rId4"/>
    <sheet name="Pg5 Rev Stmt AV" sheetId="101" r:id="rId5"/>
    <sheet name="Pg6 Stmt AV_As Filed" sheetId="102" r:id="rId6"/>
    <sheet name="Pg7 TO5 C5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C5 '!$A$2:$K$198</definedName>
    <definedName name="_xlnm.Print_Area" localSheetId="3">'Pg4 BK-1 TO5 C5_As Filed'!$A$2:$H$194</definedName>
    <definedName name="_xlnm.Print_Area" localSheetId="4">'Pg5 Rev Stmt AV'!$A$1:$J$266</definedName>
    <definedName name="_xlnm.Print_Area" localSheetId="5">'Pg6 Stmt AV_As Filed'!$A$2:$J$266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3" l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A64" i="13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E192" i="4"/>
  <c r="E191" i="4"/>
  <c r="E180" i="4"/>
  <c r="E179" i="4"/>
  <c r="E178" i="4"/>
  <c r="E177" i="4"/>
  <c r="E173" i="4"/>
  <c r="E172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04"/>
  <c r="B97" i="104" s="1"/>
  <c r="E190" i="104"/>
  <c r="E184" i="104"/>
  <c r="E183" i="104"/>
  <c r="E182" i="104"/>
  <c r="E181" i="104"/>
  <c r="E113" i="104" s="1"/>
  <c r="E178" i="104"/>
  <c r="E171" i="104"/>
  <c r="A167" i="104"/>
  <c r="A168" i="104" s="1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H166" i="104"/>
  <c r="H167" i="104" s="1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B160" i="104"/>
  <c r="E148" i="104"/>
  <c r="E75" i="104" s="1"/>
  <c r="E77" i="104" s="1"/>
  <c r="E141" i="104"/>
  <c r="E143" i="104" s="1"/>
  <c r="E133" i="104"/>
  <c r="E127" i="104"/>
  <c r="E122" i="104"/>
  <c r="E116" i="104"/>
  <c r="E115" i="104"/>
  <c r="E114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E71" i="104"/>
  <c r="A58" i="104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A57" i="104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117" i="104" l="1"/>
  <c r="E138" i="104"/>
  <c r="E63" i="104"/>
  <c r="E59" i="104"/>
  <c r="E185" i="104"/>
  <c r="E191" i="103"/>
  <c r="E185" i="103"/>
  <c r="E117" i="103" s="1"/>
  <c r="E184" i="103"/>
  <c r="E183" i="103"/>
  <c r="E182" i="103"/>
  <c r="E114" i="103" s="1"/>
  <c r="E179" i="103"/>
  <c r="E172" i="103"/>
  <c r="H168" i="103"/>
  <c r="H169" i="103" s="1"/>
  <c r="H170" i="103" s="1"/>
  <c r="H171" i="103" s="1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A168" i="103"/>
  <c r="A169" i="103" s="1"/>
  <c r="A170" i="103" s="1"/>
  <c r="A171" i="103" s="1"/>
  <c r="A172" i="103" s="1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H167" i="103"/>
  <c r="B161" i="103"/>
  <c r="E149" i="103"/>
  <c r="E76" i="103" s="1"/>
  <c r="E78" i="103" s="1"/>
  <c r="E142" i="103"/>
  <c r="E144" i="103" s="1"/>
  <c r="E134" i="103"/>
  <c r="E128" i="103"/>
  <c r="E123" i="103"/>
  <c r="E116" i="103"/>
  <c r="E115" i="103"/>
  <c r="A114" i="103"/>
  <c r="A115" i="103" s="1"/>
  <c r="A116" i="103" s="1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H113" i="103"/>
  <c r="H114" i="103" s="1"/>
  <c r="H115" i="103" s="1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B107" i="103"/>
  <c r="E89" i="103"/>
  <c r="E87" i="103"/>
  <c r="E83" i="103"/>
  <c r="E72" i="103"/>
  <c r="E74" i="103" s="1"/>
  <c r="A58" i="103"/>
  <c r="A59" i="103" s="1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H57" i="103"/>
  <c r="H58" i="103" s="1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B51" i="103"/>
  <c r="B44" i="103"/>
  <c r="B98" i="103" s="1"/>
  <c r="B154" i="103" s="1"/>
  <c r="E17" i="103"/>
  <c r="E26" i="103" s="1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G254" i="102"/>
  <c r="G252" i="102"/>
  <c r="G251" i="102"/>
  <c r="G241" i="102"/>
  <c r="G220" i="102"/>
  <c r="G218" i="102"/>
  <c r="G217" i="102"/>
  <c r="G207" i="102"/>
  <c r="J199" i="102"/>
  <c r="J200" i="102" s="1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A199" i="102"/>
  <c r="A200" i="102" s="1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B192" i="102"/>
  <c r="B186" i="102"/>
  <c r="G171" i="102"/>
  <c r="G172" i="102"/>
  <c r="G137" i="102"/>
  <c r="G138" i="102"/>
  <c r="A124" i="102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20" i="102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J119" i="102"/>
  <c r="A119" i="102"/>
  <c r="A120" i="102" s="1"/>
  <c r="A121" i="102" s="1"/>
  <c r="A122" i="102" s="1"/>
  <c r="A123" i="102" s="1"/>
  <c r="B112" i="102"/>
  <c r="E100" i="102"/>
  <c r="C99" i="102"/>
  <c r="E87" i="102"/>
  <c r="E86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37" i="102"/>
  <c r="G40" i="102" s="1"/>
  <c r="G33" i="102"/>
  <c r="E49" i="102" s="1"/>
  <c r="G26" i="102"/>
  <c r="G18" i="102"/>
  <c r="J14" i="102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E32" i="104" l="1"/>
  <c r="E28" i="104"/>
  <c r="E118" i="103"/>
  <c r="E85" i="103"/>
  <c r="E91" i="103" s="1"/>
  <c r="E80" i="103"/>
  <c r="E139" i="103"/>
  <c r="E60" i="103"/>
  <c r="E61" i="103" s="1"/>
  <c r="E64" i="103"/>
  <c r="E65" i="103" s="1"/>
  <c r="E186" i="103"/>
  <c r="G28" i="102"/>
  <c r="C61" i="102"/>
  <c r="C85" i="102"/>
  <c r="C98" i="102"/>
  <c r="C48" i="102"/>
  <c r="E48" i="102"/>
  <c r="E85" i="102"/>
  <c r="C63" i="102"/>
  <c r="C50" i="102"/>
  <c r="C100" i="102"/>
  <c r="C87" i="102"/>
  <c r="E29" i="103" l="1"/>
  <c r="E30" i="103" s="1"/>
  <c r="E33" i="103"/>
  <c r="E34" i="103" s="1"/>
  <c r="E67" i="103"/>
  <c r="E93" i="103" s="1"/>
  <c r="C64" i="102"/>
  <c r="D62" i="102" s="1"/>
  <c r="G62" i="102" s="1"/>
  <c r="D61" i="102"/>
  <c r="C51" i="102"/>
  <c r="D49" i="102" s="1"/>
  <c r="G49" i="102" s="1"/>
  <c r="C101" i="102"/>
  <c r="D99" i="102" s="1"/>
  <c r="G99" i="102" s="1"/>
  <c r="C88" i="102"/>
  <c r="D86" i="102" s="1"/>
  <c r="G86" i="102" s="1"/>
  <c r="E41" i="103" l="1"/>
  <c r="E95" i="103" s="1"/>
  <c r="D85" i="102"/>
  <c r="D48" i="102"/>
  <c r="D50" i="102"/>
  <c r="G50" i="102" s="1"/>
  <c r="G53" i="102"/>
  <c r="G123" i="102" s="1"/>
  <c r="G48" i="102"/>
  <c r="G51" i="102" s="1"/>
  <c r="G147" i="102" s="1"/>
  <c r="D51" i="102"/>
  <c r="G61" i="102"/>
  <c r="D98" i="102"/>
  <c r="G85" i="102"/>
  <c r="D100" i="102"/>
  <c r="G100" i="102" s="1"/>
  <c r="G103" i="102" s="1"/>
  <c r="G237" i="102" s="1"/>
  <c r="D87" i="102"/>
  <c r="G87" i="102" s="1"/>
  <c r="G90" i="102" s="1"/>
  <c r="G203" i="102" s="1"/>
  <c r="D63" i="102"/>
  <c r="G63" i="102" s="1"/>
  <c r="G66" i="102" s="1"/>
  <c r="G157" i="102" s="1"/>
  <c r="G88" i="102" l="1"/>
  <c r="G227" i="102" s="1"/>
  <c r="G98" i="102"/>
  <c r="G101" i="102" s="1"/>
  <c r="G261" i="102" s="1"/>
  <c r="D101" i="102"/>
  <c r="G135" i="102"/>
  <c r="G129" i="102"/>
  <c r="G139" i="102" s="1"/>
  <c r="D64" i="102"/>
  <c r="G209" i="102"/>
  <c r="G219" i="102" s="1"/>
  <c r="G215" i="102"/>
  <c r="D88" i="102"/>
  <c r="G163" i="102"/>
  <c r="G173" i="102" s="1"/>
  <c r="G169" i="102"/>
  <c r="G64" i="102"/>
  <c r="G181" i="102" s="1"/>
  <c r="G243" i="102"/>
  <c r="G253" i="102" s="1"/>
  <c r="G249" i="102"/>
  <c r="G222" i="102" l="1"/>
  <c r="G225" i="102" s="1"/>
  <c r="G229" i="102" s="1"/>
  <c r="G256" i="102"/>
  <c r="G259" i="102" s="1"/>
  <c r="G263" i="102" s="1"/>
  <c r="G142" i="102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57" i="4"/>
  <c r="E150" i="4"/>
  <c r="E76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3" i="4"/>
  <c r="E143" i="4" s="1"/>
  <c r="E187" i="4"/>
  <c r="E118" i="4" s="1"/>
  <c r="E186" i="4"/>
  <c r="E117" i="4" s="1"/>
  <c r="E185" i="4"/>
  <c r="E184" i="4"/>
  <c r="E181" i="4"/>
  <c r="E174" i="4"/>
  <c r="I192" i="4"/>
  <c r="I191" i="4"/>
  <c r="I180" i="4"/>
  <c r="I179" i="4"/>
  <c r="I178" i="4"/>
  <c r="I177" i="4"/>
  <c r="I173" i="4"/>
  <c r="I172" i="4"/>
  <c r="I171" i="4"/>
  <c r="I170" i="4"/>
  <c r="I150" i="4" l="1"/>
  <c r="I181" i="4"/>
  <c r="I135" i="4"/>
  <c r="E72" i="4"/>
  <c r="E188" i="4"/>
  <c r="E115" i="4"/>
  <c r="E116" i="4"/>
  <c r="I16" i="4"/>
  <c r="I25" i="4" s="1"/>
  <c r="E78" i="4"/>
  <c r="I129" i="4"/>
  <c r="E145" i="4"/>
  <c r="I124" i="4"/>
  <c r="I174" i="4"/>
  <c r="E119" i="4" l="1"/>
  <c r="E140" i="4" s="1"/>
  <c r="E32" i="4" s="1"/>
  <c r="E60" i="4"/>
  <c r="E64" i="4"/>
  <c r="E28" i="4" l="1"/>
  <c r="E166" i="4"/>
  <c r="E111" i="4"/>
  <c r="E54" i="4"/>
  <c r="G55" i="101" l="1"/>
  <c r="E62" i="101" s="1"/>
  <c r="G254" i="101"/>
  <c r="G252" i="101"/>
  <c r="G251" i="101"/>
  <c r="G241" i="101"/>
  <c r="G220" i="101"/>
  <c r="G218" i="101"/>
  <c r="G217" i="101"/>
  <c r="G207" i="101"/>
  <c r="J201" i="101"/>
  <c r="J202" i="101" s="1"/>
  <c r="J203" i="101" s="1"/>
  <c r="J204" i="101" s="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199" i="101"/>
  <c r="J200" i="101" s="1"/>
  <c r="A199" i="101"/>
  <c r="A200" i="101" s="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B192" i="101"/>
  <c r="G171" i="101"/>
  <c r="G172" i="101"/>
  <c r="G137" i="101"/>
  <c r="G138" i="101"/>
  <c r="A121" i="10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B112" i="101"/>
  <c r="E100" i="101"/>
  <c r="C99" i="101"/>
  <c r="E87" i="101"/>
  <c r="C86" i="101"/>
  <c r="C85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C60" i="101"/>
  <c r="E49" i="101"/>
  <c r="C48" i="101"/>
  <c r="G36" i="101"/>
  <c r="G39" i="101" s="1"/>
  <c r="G32" i="101"/>
  <c r="E48" i="101" s="1"/>
  <c r="G25" i="101"/>
  <c r="G27" i="101" s="1"/>
  <c r="E85" i="101" s="1"/>
  <c r="G17" i="10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C62" i="101" l="1"/>
  <c r="C100" i="101"/>
  <c r="C87" i="101"/>
  <c r="C63" i="101"/>
  <c r="D61" i="101" s="1"/>
  <c r="G61" i="101" s="1"/>
  <c r="E86" i="101"/>
  <c r="D62" i="101"/>
  <c r="G62" i="101" s="1"/>
  <c r="G65" i="101" s="1"/>
  <c r="G157" i="101" s="1"/>
  <c r="D60" i="101"/>
  <c r="E47" i="101"/>
  <c r="C88" i="101"/>
  <c r="D86" i="101" s="1"/>
  <c r="G86" i="101" s="1"/>
  <c r="D85" i="101"/>
  <c r="C98" i="101"/>
  <c r="C47" i="101"/>
  <c r="C49" i="101"/>
  <c r="D87" i="101" l="1"/>
  <c r="G87" i="101" s="1"/>
  <c r="G90" i="101" s="1"/>
  <c r="G203" i="101" s="1"/>
  <c r="C50" i="101"/>
  <c r="D48" i="101" s="1"/>
  <c r="G48" i="101" s="1"/>
  <c r="D49" i="101"/>
  <c r="G49" i="101" s="1"/>
  <c r="C101" i="101"/>
  <c r="G85" i="101"/>
  <c r="D88" i="101"/>
  <c r="G60" i="101"/>
  <c r="G63" i="101" s="1"/>
  <c r="G181" i="101" s="1"/>
  <c r="D63" i="101"/>
  <c r="G163" i="101"/>
  <c r="G173" i="101" s="1"/>
  <c r="G169" i="101"/>
  <c r="G209" i="101" l="1"/>
  <c r="G219" i="101" s="1"/>
  <c r="G215" i="101"/>
  <c r="G88" i="101"/>
  <c r="G227" i="101" s="1"/>
  <c r="D99" i="101"/>
  <c r="G99" i="101" s="1"/>
  <c r="D100" i="101"/>
  <c r="G100" i="101" s="1"/>
  <c r="G103" i="101" s="1"/>
  <c r="G237" i="101" s="1"/>
  <c r="D98" i="101"/>
  <c r="G176" i="101"/>
  <c r="G179" i="101" s="1"/>
  <c r="G183" i="101" s="1"/>
  <c r="G222" i="101"/>
  <c r="G225" i="101" s="1"/>
  <c r="G229" i="101" s="1"/>
  <c r="E58" i="104" s="1"/>
  <c r="D47" i="101"/>
  <c r="G52" i="101"/>
  <c r="G123" i="101" s="1"/>
  <c r="E59" i="4" l="1"/>
  <c r="E60" i="104"/>
  <c r="E87" i="104"/>
  <c r="E31" i="104"/>
  <c r="G243" i="101"/>
  <c r="G253" i="101" s="1"/>
  <c r="G249" i="101"/>
  <c r="D50" i="101"/>
  <c r="G47" i="101"/>
  <c r="G50" i="101" s="1"/>
  <c r="G147" i="101" s="1"/>
  <c r="G129" i="101"/>
  <c r="G139" i="101" s="1"/>
  <c r="G135" i="101"/>
  <c r="G98" i="101"/>
  <c r="G101" i="101" s="1"/>
  <c r="G261" i="101" s="1"/>
  <c r="D101" i="101"/>
  <c r="E31" i="4" l="1"/>
  <c r="E33" i="104"/>
  <c r="E88" i="104"/>
  <c r="E88" i="4"/>
  <c r="E89" i="4" s="1"/>
  <c r="I59" i="4"/>
  <c r="E61" i="4"/>
  <c r="I31" i="4"/>
  <c r="E33" i="4"/>
  <c r="G142" i="101"/>
  <c r="G145" i="101" s="1"/>
  <c r="G149" i="101" s="1"/>
  <c r="G256" i="101"/>
  <c r="G259" i="101" s="1"/>
  <c r="G263" i="101" s="1"/>
  <c r="E62" i="104" s="1"/>
  <c r="E83" i="104" l="1"/>
  <c r="E72" i="104"/>
  <c r="E27" i="104"/>
  <c r="I88" i="4"/>
  <c r="E63" i="4"/>
  <c r="E64" i="104"/>
  <c r="E66" i="104" s="1"/>
  <c r="G12" i="1"/>
  <c r="G13" i="1"/>
  <c r="A12" i="1"/>
  <c r="A13" i="1" s="1"/>
  <c r="E27" i="4" l="1"/>
  <c r="E29" i="104"/>
  <c r="E40" i="104" s="1"/>
  <c r="E73" i="4"/>
  <c r="I73" i="4" s="1"/>
  <c r="E73" i="104"/>
  <c r="E79" i="104" s="1"/>
  <c r="I63" i="4"/>
  <c r="E65" i="4"/>
  <c r="E67" i="4" s="1"/>
  <c r="E84" i="4"/>
  <c r="I84" i="4" s="1"/>
  <c r="E84" i="104"/>
  <c r="E90" i="104" s="1"/>
  <c r="I27" i="4"/>
  <c r="E29" i="4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2" i="104" l="1"/>
  <c r="E74" i="4"/>
  <c r="E94" i="104"/>
  <c r="E85" i="4"/>
  <c r="E40" i="4"/>
  <c r="E91" i="4"/>
  <c r="E80" i="4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B98" i="4"/>
  <c r="E93" i="4" l="1"/>
  <c r="E95" i="4" s="1"/>
  <c r="G193" i="4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7" i="4"/>
  <c r="I117" i="4" s="1"/>
  <c r="G116" i="4"/>
  <c r="I116" i="4" s="1"/>
  <c r="G135" i="4"/>
  <c r="G129" i="4"/>
  <c r="G124" i="4"/>
  <c r="G150" i="4"/>
  <c r="G184" i="4"/>
  <c r="I184" i="4" s="1"/>
  <c r="G16" i="4"/>
  <c r="G25" i="4" s="1"/>
  <c r="G174" i="4"/>
  <c r="G145" i="4" l="1"/>
  <c r="G60" i="4" s="1"/>
  <c r="I60" i="4" s="1"/>
  <c r="G76" i="4"/>
  <c r="I76" i="4" s="1"/>
  <c r="G72" i="4"/>
  <c r="I72" i="4" s="1"/>
  <c r="G115" i="4"/>
  <c r="I115" i="4" s="1"/>
  <c r="G64" i="4" l="1"/>
  <c r="I64" i="4" s="1"/>
  <c r="G78" i="4"/>
  <c r="I78" i="4" s="1"/>
  <c r="G65" i="4"/>
  <c r="I65" i="4" s="1"/>
  <c r="G61" i="4"/>
  <c r="I61" i="4" s="1"/>
  <c r="G67" i="4" l="1"/>
  <c r="I67" i="4" s="1"/>
  <c r="G10" i="1" l="1"/>
  <c r="A10" i="1"/>
  <c r="A11" i="1" l="1"/>
  <c r="A14" i="1" s="1"/>
  <c r="A15" i="1" s="1"/>
  <c r="A16" i="1" s="1"/>
  <c r="A17" i="1" s="1"/>
  <c r="A18" i="1" s="1"/>
  <c r="A19" i="1" s="1"/>
  <c r="A20" i="1" s="1"/>
  <c r="A21" i="1" s="1"/>
  <c r="A22" i="1" s="1"/>
  <c r="G11" i="1"/>
  <c r="G14" i="1" s="1"/>
  <c r="G15" i="1" s="1"/>
  <c r="G16" i="1" s="1"/>
  <c r="G17" i="1" s="1"/>
  <c r="G18" i="1" s="1"/>
  <c r="G19" i="1" s="1"/>
  <c r="G20" i="1" s="1"/>
  <c r="G21" i="1" s="1"/>
  <c r="G22" i="1" s="1"/>
  <c r="G187" i="4"/>
  <c r="I187" i="4" s="1"/>
  <c r="I188" i="4" s="1"/>
  <c r="G181" i="4"/>
  <c r="G118" i="4" l="1"/>
  <c r="I118" i="4" s="1"/>
  <c r="I119" i="4" s="1"/>
  <c r="G188" i="4"/>
  <c r="G119" i="4" l="1"/>
  <c r="G140" i="4" s="1"/>
  <c r="I140" i="4" s="1"/>
  <c r="G32" i="4" l="1"/>
  <c r="I32" i="4" s="1"/>
  <c r="G28" i="4"/>
  <c r="I28" i="4" s="1"/>
  <c r="G89" i="4" l="1"/>
  <c r="I89" i="4" s="1"/>
  <c r="G74" i="4"/>
  <c r="G85" i="4"/>
  <c r="I85" i="4" s="1"/>
  <c r="G29" i="4"/>
  <c r="I29" i="4" s="1"/>
  <c r="G33" i="4"/>
  <c r="I33" i="4" s="1"/>
  <c r="G80" i="4" l="1"/>
  <c r="I80" i="4" s="1"/>
  <c r="I74" i="4"/>
  <c r="G91" i="4"/>
  <c r="G40" i="4"/>
  <c r="I40" i="4" s="1"/>
  <c r="G93" i="4" l="1"/>
  <c r="I93" i="4" s="1"/>
  <c r="I91" i="4"/>
  <c r="G95" i="4" l="1"/>
  <c r="I95" i="4" s="1"/>
  <c r="D10" i="1" s="1"/>
  <c r="D16" i="13" s="1"/>
  <c r="G16" i="13" l="1"/>
  <c r="D17" i="13"/>
  <c r="F16" i="13"/>
  <c r="H16" i="13" s="1"/>
  <c r="D18" i="13" l="1"/>
  <c r="D19" i="13" s="1"/>
  <c r="D20" i="13" s="1"/>
  <c r="D21" i="13" s="1"/>
  <c r="D22" i="13" s="1"/>
  <c r="D23" i="13" s="1"/>
  <c r="D24" i="13" s="1"/>
  <c r="D25" i="13" s="1"/>
  <c r="D26" i="13" s="1"/>
  <c r="D27" i="13" s="1"/>
  <c r="F17" i="13"/>
  <c r="G17" i="13" s="1"/>
  <c r="D76" i="13" l="1"/>
  <c r="H17" i="13"/>
  <c r="F18" i="13" l="1"/>
  <c r="G18" i="13" s="1"/>
  <c r="H18" i="13" l="1"/>
  <c r="F19" i="13" l="1"/>
  <c r="G19" i="13" s="1"/>
  <c r="H19" i="13" l="1"/>
  <c r="F20" i="13" l="1"/>
  <c r="G20" i="13" s="1"/>
  <c r="H20" i="13" s="1"/>
  <c r="F21" i="13" l="1"/>
  <c r="G21" i="13" s="1"/>
  <c r="H21" i="13" s="1"/>
  <c r="F22" i="13" l="1"/>
  <c r="G22" i="13" s="1"/>
  <c r="H22" i="13" s="1"/>
  <c r="F23" i="13" l="1"/>
  <c r="G23" i="13" s="1"/>
  <c r="H23" i="13" s="1"/>
  <c r="F24" i="13" l="1"/>
  <c r="G24" i="13" s="1"/>
  <c r="H24" i="13" s="1"/>
  <c r="F25" i="13" l="1"/>
  <c r="G25" i="13" s="1"/>
  <c r="H25" i="13" s="1"/>
  <c r="F26" i="13" l="1"/>
  <c r="G26" i="13" s="1"/>
  <c r="H26" i="13" s="1"/>
  <c r="F27" i="13" l="1"/>
  <c r="G27" i="13" s="1"/>
  <c r="H27" i="13" l="1"/>
  <c r="F28" i="13" l="1"/>
  <c r="G28" i="13" s="1"/>
  <c r="H28" i="13" s="1"/>
  <c r="F29" i="13" s="1"/>
  <c r="G29" i="13" s="1"/>
  <c r="H29" i="13" s="1"/>
  <c r="F30" i="13" s="1"/>
  <c r="G30" i="13" s="1"/>
  <c r="H30" i="13" s="1"/>
  <c r="F31" i="13" s="1"/>
  <c r="G31" i="13" s="1"/>
  <c r="H31" i="13" s="1"/>
  <c r="F32" i="13" s="1"/>
  <c r="G32" i="13" s="1"/>
  <c r="H32" i="13" s="1"/>
  <c r="F33" i="13" s="1"/>
  <c r="G33" i="13" s="1"/>
  <c r="H33" i="13" s="1"/>
  <c r="F34" i="13" s="1"/>
  <c r="G34" i="13" s="1"/>
  <c r="H34" i="13" s="1"/>
  <c r="F35" i="13" s="1"/>
  <c r="G35" i="13" s="1"/>
  <c r="H35" i="13" s="1"/>
  <c r="F36" i="13" s="1"/>
  <c r="G36" i="13" l="1"/>
  <c r="H36" i="13" s="1"/>
  <c r="F37" i="13" s="1"/>
  <c r="G37" i="13" s="1"/>
  <c r="H37" i="13" s="1"/>
  <c r="F38" i="13" s="1"/>
  <c r="G38" i="13" s="1"/>
  <c r="H38" i="13" s="1"/>
  <c r="F39" i="13" s="1"/>
  <c r="G39" i="13" l="1"/>
  <c r="H39" i="13" s="1"/>
  <c r="F40" i="13" s="1"/>
  <c r="G40" i="13" l="1"/>
  <c r="H40" i="13" s="1"/>
  <c r="F41" i="13" s="1"/>
  <c r="G41" i="13" s="1"/>
  <c r="H41" i="13" s="1"/>
  <c r="F42" i="13" l="1"/>
  <c r="G42" i="13" s="1"/>
  <c r="H42" i="13" s="1"/>
  <c r="F43" i="13" s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l="1"/>
  <c r="F48" i="13" l="1"/>
  <c r="G48" i="13" s="1"/>
  <c r="H48" i="13" l="1"/>
  <c r="F49" i="13" l="1"/>
  <c r="G49" i="13" s="1"/>
  <c r="H49" i="13" l="1"/>
  <c r="F50" i="13" l="1"/>
  <c r="G50" i="13" s="1"/>
  <c r="H50" i="13" l="1"/>
  <c r="F51" i="13" l="1"/>
  <c r="G51" i="13" s="1"/>
  <c r="H51" i="13" l="1"/>
  <c r="F52" i="13" s="1"/>
  <c r="G52" i="13" l="1"/>
  <c r="H52" i="13" s="1"/>
  <c r="F53" i="13" l="1"/>
  <c r="G53" i="13" s="1"/>
  <c r="H53" i="13" l="1"/>
  <c r="F54" i="13" l="1"/>
  <c r="G54" i="13" s="1"/>
  <c r="H54" i="13" s="1"/>
  <c r="F55" i="13" l="1"/>
  <c r="G55" i="13" l="1"/>
  <c r="H55" i="13" s="1"/>
  <c r="F56" i="13" l="1"/>
  <c r="G56" i="13" l="1"/>
  <c r="H56" i="13" s="1"/>
  <c r="F57" i="13" l="1"/>
  <c r="G57" i="13" s="1"/>
  <c r="H57" i="13" s="1"/>
  <c r="F58" i="13" l="1"/>
  <c r="G58" i="13" s="1"/>
  <c r="H58" i="13" s="1"/>
  <c r="F59" i="13" l="1"/>
  <c r="G59" i="13" s="1"/>
  <c r="H59" i="13" s="1"/>
  <c r="F60" i="13" l="1"/>
  <c r="G60" i="13" s="1"/>
  <c r="H60" i="13" s="1"/>
  <c r="F61" i="13" l="1"/>
  <c r="G61" i="13" l="1"/>
  <c r="H61" i="13" s="1"/>
  <c r="F62" i="13" l="1"/>
  <c r="G62" i="13" s="1"/>
  <c r="H62" i="13" s="1"/>
  <c r="F63" i="13" l="1"/>
  <c r="G63" i="13" s="1"/>
  <c r="H63" i="13" l="1"/>
  <c r="F64" i="13" s="1"/>
  <c r="G64" i="13" l="1"/>
  <c r="H64" i="13"/>
  <c r="F65" i="13" l="1"/>
  <c r="G65" i="13"/>
  <c r="H65" i="13" l="1"/>
  <c r="F66" i="13" s="1"/>
  <c r="G66" i="13" l="1"/>
  <c r="H66" i="13" s="1"/>
  <c r="F67" i="13" l="1"/>
  <c r="G67" i="13"/>
  <c r="H67" i="13" s="1"/>
  <c r="F68" i="13" s="1"/>
  <c r="G68" i="13" l="1"/>
  <c r="H68" i="13" s="1"/>
  <c r="F69" i="13" l="1"/>
  <c r="G69" i="13" s="1"/>
  <c r="H69" i="13" l="1"/>
  <c r="F70" i="13" l="1"/>
  <c r="G70" i="13"/>
  <c r="H70" i="13" l="1"/>
  <c r="F71" i="13" l="1"/>
  <c r="G71" i="13"/>
  <c r="H71" i="13" l="1"/>
  <c r="F72" i="13" l="1"/>
  <c r="G72" i="13" s="1"/>
  <c r="H72" i="13" l="1"/>
  <c r="F73" i="13" l="1"/>
  <c r="G73" i="13"/>
  <c r="H73" i="13" s="1"/>
  <c r="F74" i="13" l="1"/>
  <c r="G74" i="13"/>
  <c r="H74" i="13" l="1"/>
  <c r="F75" i="13" l="1"/>
  <c r="G75" i="13"/>
  <c r="G76" i="13" s="1"/>
  <c r="D12" i="1" s="1"/>
  <c r="D14" i="1" s="1"/>
  <c r="D20" i="1" l="1"/>
  <c r="D16" i="1"/>
  <c r="D18" i="1" s="1"/>
  <c r="D22" i="1" s="1"/>
  <c r="H75" i="13"/>
</calcChain>
</file>

<file path=xl/sharedStrings.xml><?xml version="1.0" encoding="utf-8"?>
<sst xmlns="http://schemas.openxmlformats.org/spreadsheetml/2006/main" count="1673" uniqueCount="430">
  <si>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</si>
  <si>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</si>
  <si>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</si>
  <si>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</si>
  <si>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</si>
  <si>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</si>
  <si>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</si>
  <si>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</si>
  <si>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</si>
  <si>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</si>
  <si>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</si>
  <si>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Transmission Related Uncollectible Expense</t>
  </si>
  <si>
    <t xml:space="preserve"> </t>
  </si>
  <si>
    <t>Statement BK-1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</si>
  <si>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</si>
  <si>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</si>
  <si>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</si>
  <si>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</si>
  <si>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</si>
  <si>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</si>
  <si>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</si>
  <si>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</si>
  <si>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</si>
  <si>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</si>
  <si>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</si>
  <si>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</si>
  <si>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</si>
  <si>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</si>
  <si>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</si>
  <si>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</si>
  <si>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</si>
  <si>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</si>
  <si>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</si>
  <si>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</si>
  <si>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</si>
  <si>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</si>
  <si>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</si>
  <si>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</si>
  <si>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</si>
  <si>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</si>
  <si>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</si>
  <si>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</si>
  <si>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</si>
  <si>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</si>
  <si>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</si>
  <si>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</si>
  <si>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</si>
  <si>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</si>
  <si>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</si>
  <si>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</si>
  <si>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</si>
  <si>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</si>
  <si>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</si>
  <si>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</si>
  <si>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</si>
  <si>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</si>
  <si>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</si>
  <si>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</si>
  <si>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</si>
  <si>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</si>
  <si>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</si>
  <si>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</si>
  <si>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</si>
  <si>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</si>
  <si>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</si>
  <si>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</si>
  <si>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</si>
  <si>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</si>
  <si>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</si>
  <si>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</si>
  <si>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</si>
  <si>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</si>
  <si>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</si>
  <si>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</si>
  <si>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</si>
  <si>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</si>
  <si>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</si>
  <si>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</si>
  <si>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</si>
  <si>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</si>
  <si>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</si>
  <si>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</si>
  <si>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</si>
  <si>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</si>
  <si>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</si>
  <si>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</si>
  <si>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</si>
  <si>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</si>
  <si>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</si>
  <si>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</si>
  <si>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</si>
  <si>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</si>
  <si>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</si>
  <si>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</si>
  <si>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</si>
  <si>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</si>
  <si>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</si>
  <si>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</si>
  <si>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</si>
  <si>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</si>
  <si>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</si>
  <si>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</si>
  <si>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</si>
  <si>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</si>
  <si>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</si>
  <si>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</si>
  <si>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</si>
  <si>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</si>
  <si>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</si>
  <si>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</si>
  <si>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</si>
  <si>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</si>
  <si>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</si>
  <si>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</si>
  <si>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</si>
  <si>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</si>
  <si>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</si>
  <si>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</si>
  <si>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</si>
  <si>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</si>
  <si>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</si>
  <si>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</si>
  <si>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</si>
  <si>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</si>
  <si>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</si>
  <si>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</si>
  <si>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</si>
  <si>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</si>
  <si>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</si>
  <si>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Statement AM; Line 1</t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</si>
  <si>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</si>
  <si>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</si>
  <si>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</si>
  <si>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</si>
  <si>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</si>
  <si>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</si>
  <si>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</si>
  <si>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</si>
  <si>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</si>
  <si>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</si>
  <si>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</si>
  <si>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</si>
  <si>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</si>
  <si>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</si>
  <si>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</si>
  <si>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</si>
  <si>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</si>
  <si>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</si>
  <si>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</si>
  <si>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</si>
  <si>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</si>
  <si>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</si>
  <si>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</si>
  <si>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</si>
  <si>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AH; Line 10</t>
  </si>
  <si>
    <t>Statement AJ; Line 23</t>
  </si>
  <si>
    <t>Page 3; Line 27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</si>
  <si>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</si>
  <si>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</si>
  <si>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</si>
  <si>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</si>
  <si>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</si>
  <si>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</si>
  <si>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 xml:space="preserve">Transmission Related Materials and Supplies </t>
  </si>
  <si>
    <t xml:space="preserve">     Total Working Capital</t>
  </si>
  <si>
    <t>A. Transmission Plant:</t>
  </si>
  <si>
    <t>Transmission Related Electric Misc. Intangible Plant</t>
  </si>
  <si>
    <t>Total BTRR Adjustment Including Franchise Fees Expense (WHOLESALE)</t>
  </si>
  <si>
    <t>Total BTRR Adjustment Including FF&amp;U (RETAIL)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</si>
  <si>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</si>
  <si>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</si>
  <si>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</si>
  <si>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</si>
  <si>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</si>
  <si>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</si>
  <si>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</si>
  <si>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</si>
  <si>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</si>
  <si>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</si>
  <si>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</si>
  <si>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</si>
  <si>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</si>
  <si>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</si>
  <si>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</si>
  <si>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</si>
  <si>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</si>
  <si>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</si>
  <si>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</si>
  <si>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</si>
  <si>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</si>
  <si>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</si>
  <si>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</si>
  <si>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</si>
  <si>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</si>
  <si>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</si>
  <si>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</si>
  <si>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</si>
  <si>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</si>
  <si>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</si>
  <si>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</si>
  <si>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</si>
  <si>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</si>
  <si>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</si>
  <si>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</si>
  <si>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</si>
  <si>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</si>
  <si>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</si>
  <si>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Negative of Statement AH; Line 17</t>
  </si>
  <si>
    <t>Derivation of Interest Expense on Other BTRR Adjustment Applicable to TO5 Cycle 5</t>
  </si>
  <si>
    <t>Derivation of Other BTRR Adjustment Applicable to TO5 Cycle 5</t>
  </si>
  <si>
    <t>For the Base Period &amp; True-Up Period Ending December 31, 2021</t>
  </si>
  <si>
    <t>Pg5 Rev Stmt AD; Line 29</t>
  </si>
  <si>
    <t>Pg5 Rev Stmt AD; Line 31</t>
  </si>
  <si>
    <t>Pg5 Rev Stmt AD; Line 11</t>
  </si>
  <si>
    <t>Pg5 Rev Stmt AD; Line 27</t>
  </si>
  <si>
    <t>Pg6 Rev Stmt AE; Line 1</t>
  </si>
  <si>
    <t>Pg6 Rev Stmt AE; Line 11</t>
  </si>
  <si>
    <t>Pg6 Rev Stmt AE; Line 13</t>
  </si>
  <si>
    <t>Pg6 Rev Stmt AE; Line 15</t>
  </si>
  <si>
    <t>Pg7 Rev Stmt AF; Line 7</t>
  </si>
  <si>
    <t>Pg8; Rev. Stmt AH; Line 32</t>
  </si>
  <si>
    <t>Pg9 Rev Stmt AJ; Line 17</t>
  </si>
  <si>
    <t>Pg10 Rev Stmt AK; Line 13</t>
  </si>
  <si>
    <t>Pg12.3; Rev. Stmt AV; Line 32</t>
  </si>
  <si>
    <t>Pg12.3; Rev. Stmt AV; Line 66</t>
  </si>
  <si>
    <t>Pg12.4; Rev. Stmt AV; Line 32</t>
  </si>
  <si>
    <t>Pg12.4; Rev Stmt AV; Line 66</t>
  </si>
  <si>
    <t>Pg12.3; Rev.  Stmt AV; Line 32</t>
  </si>
  <si>
    <t>Pg11 Rev Stmt AL; Line 5</t>
  </si>
  <si>
    <t>Pg11 Rev Stmt AL; Line 9</t>
  </si>
  <si>
    <t>Pg11 Rev Stmt AL; Line 19</t>
  </si>
  <si>
    <t>Estimated FERC Interest rates</t>
  </si>
  <si>
    <t>Posted FERC Interest rates</t>
  </si>
  <si>
    <t>Page 2.1; Line 23</t>
  </si>
  <si>
    <t>Source: https://www.ferc.gov/interest-calculation-rates-and-methodology</t>
  </si>
  <si>
    <t>Page 3; Col. 5; Line 56</t>
  </si>
  <si>
    <t>Line 2 + Line 4</t>
  </si>
  <si>
    <t>Line 6 x 1.0275%</t>
  </si>
  <si>
    <t>Line 6 + Line 8</t>
  </si>
  <si>
    <t>Line 6 x 0.173</t>
  </si>
  <si>
    <t>Line 10 + Line 12</t>
  </si>
  <si>
    <t>TO5 Cycle 5 FERC CAISO Adder Refund</t>
  </si>
  <si>
    <t>BTRR Adjustment due to TO5 Cycle 5 FERC CAISO Adder Refund Calculation:</t>
  </si>
  <si>
    <t>TO5 Cycle 5 FERC CAISO Adder Refund Adjustment</t>
  </si>
  <si>
    <t>Statement AV</t>
  </si>
  <si>
    <t>Cost of Capital and Fair Rate of Return</t>
  </si>
  <si>
    <t>Base Period &amp; True-Up Period 12 - Months Ending December 31, 2021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</si>
  <si>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</si>
  <si>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</si>
  <si>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</si>
  <si>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</si>
  <si>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</si>
  <si>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</si>
  <si>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</si>
  <si>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</si>
  <si>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</si>
  <si>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</si>
  <si>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</si>
  <si>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</si>
  <si>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</si>
  <si>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</si>
  <si>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</si>
  <si>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</si>
  <si>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</si>
  <si>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</si>
  <si>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</si>
  <si>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</si>
  <si>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</si>
  <si>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</si>
  <si>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</si>
  <si>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</si>
  <si>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</si>
  <si>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</si>
  <si>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</si>
  <si>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</si>
  <si>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</si>
  <si>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</si>
  <si>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</si>
  <si>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</si>
  <si>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</si>
  <si>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</si>
  <si>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</si>
  <si>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</si>
  <si>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</si>
  <si>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</si>
  <si>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</si>
  <si>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</si>
  <si>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</si>
  <si>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</si>
  <si>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</si>
  <si>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</si>
  <si>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</si>
  <si>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</si>
  <si>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</si>
  <si>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</si>
  <si>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</si>
  <si>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</si>
  <si>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</si>
  <si>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</si>
  <si>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</si>
  <si>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</si>
  <si>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</si>
  <si>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</si>
  <si>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</si>
  <si>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</si>
  <si>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</si>
  <si>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</si>
  <si>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</si>
  <si>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</si>
  <si>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</si>
  <si>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</si>
  <si>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</si>
  <si>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</si>
  <si>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</si>
  <si>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</si>
  <si>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</si>
  <si>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</si>
  <si>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</si>
  <si>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</si>
  <si>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</si>
  <si>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</si>
  <si>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</si>
  <si>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</si>
  <si>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</si>
  <si>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</si>
  <si>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</si>
  <si>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</si>
  <si>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</si>
  <si>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</si>
  <si>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</si>
  <si>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</si>
  <si>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</si>
  <si>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</si>
  <si>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</si>
  <si>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</si>
  <si>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</si>
  <si>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</si>
  <si>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</si>
  <si>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</si>
  <si>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</si>
  <si>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</si>
  <si>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</si>
  <si>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</si>
  <si>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</si>
  <si>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</si>
  <si>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</si>
  <si>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</si>
  <si>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</si>
  <si>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</si>
  <si>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BK-1 Rev TO5 C5-FERC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</si>
  <si>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</si>
  <si>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</si>
  <si>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</si>
  <si>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</si>
  <si>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</si>
  <si>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</si>
  <si>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</si>
  <si>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</si>
  <si>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</si>
  <si>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</si>
  <si>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</si>
  <si>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</si>
  <si>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</si>
  <si>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</si>
  <si>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</si>
  <si>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</si>
  <si>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</si>
  <si>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</si>
  <si>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</si>
  <si>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</si>
  <si>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</si>
  <si>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</si>
  <si>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</si>
  <si>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</si>
  <si>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</si>
  <si>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</si>
  <si>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</si>
  <si>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</si>
  <si>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</si>
  <si>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</si>
  <si>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</si>
  <si>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</si>
  <si>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</si>
  <si>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</si>
  <si>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</si>
  <si>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</si>
  <si>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</si>
  <si>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</si>
  <si>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</si>
  <si>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</si>
  <si>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</si>
  <si>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</si>
  <si>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</si>
  <si>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</si>
  <si>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</si>
  <si>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</si>
  <si>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</si>
  <si>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</si>
  <si>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</si>
  <si>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</si>
  <si>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</si>
  <si>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</si>
  <si>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</si>
  <si>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</si>
  <si>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</si>
  <si>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Items in BOLD have changed due to clearing the ROE Adder to zero for the TO6 Cycle 1 filing ER25-270 as compared to the original TO5 Cycle 5 filing ER23-542.</t>
  </si>
  <si>
    <t>A</t>
  </si>
  <si>
    <t>B</t>
  </si>
  <si>
    <t>C = A - B</t>
  </si>
  <si>
    <t xml:space="preserve">Revised TO5 Cycle 5 </t>
  </si>
  <si>
    <t>Difference</t>
  </si>
  <si>
    <t xml:space="preserve">Amounts  </t>
  </si>
  <si>
    <t xml:space="preserve">Amounts </t>
  </si>
  <si>
    <t>Incr (Decr)</t>
  </si>
  <si>
    <t>Source: As Filed TO5 Cycle 5; Rev Stmt AV; ER25-270</t>
  </si>
  <si>
    <t>Pg6; Rev. Stmt AH; Line 35</t>
  </si>
  <si>
    <t>Source: As Filed TO5 Cycle 5; BK-1 Rev TO5 C5; ER25-270</t>
  </si>
  <si>
    <t>Amounts for TO5 Cycle 5 are as filed in the following dockets: ER23-542, ER24-524, and ER25-270.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</si>
  <si>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</si>
  <si>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 xml:space="preserve">As Filed TO5 Cycle 5 </t>
    </r>
    <r>
      <rPr>
        <b/>
        <vertAlign val="superscript"/>
        <sz val="12"/>
        <rFont val="Times New Roman"/>
        <family val="1"/>
      </rPr>
      <t>1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</si>
  <si>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</si>
  <si>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</si>
  <si>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</si>
  <si>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</si>
  <si>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</si>
  <si>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</si>
  <si>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</si>
  <si>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Pg5.3; Rev. Stmt AV; Line 66</t>
  </si>
  <si>
    <t>Pg5.3; Rev Stmt AV; Line 66</t>
  </si>
  <si>
    <t>189 FERC ¶ 61,248 at Page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</si>
</sst>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32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14" applyFont="1" applyAlignment="1">
      <alignment horizontal="left"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3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6" fillId="0" borderId="1" xfId="0" applyFont="1" applyBorder="1" applyAlignment="1">
      <alignment horizont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9" fontId="6" fillId="0" borderId="0" xfId="3" applyFont="1"/>
    <xf numFmtId="9" fontId="3" fillId="0" borderId="0" xfId="3" applyFont="1" applyFill="1" applyBorder="1" applyAlignment="1" applyProtection="1">
      <alignment horizontal="right"/>
    </xf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0" fontId="8" fillId="5" borderId="0" xfId="3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0" fontId="8" fillId="5" borderId="1" xfId="3" applyNumberFormat="1" applyFont="1" applyFill="1" applyBorder="1"/>
    <xf numFmtId="164" fontId="6" fillId="2" borderId="0" xfId="0" applyNumberFormat="1" applyFont="1" applyFill="1" applyAlignment="1">
      <alignment horizontal="right" vertical="center"/>
    </xf>
    <xf numFmtId="0" fontId="29" fillId="0" borderId="0" xfId="0" applyFont="1"/>
    <xf numFmtId="164" fontId="3" fillId="0" borderId="3" xfId="2" quotePrefix="1" applyNumberFormat="1" applyFont="1" applyFill="1" applyBorder="1" applyAlignment="1">
      <alignment horizontal="right" vertical="center"/>
    </xf>
    <xf numFmtId="167" fontId="3" fillId="0" borderId="0" xfId="9" applyNumberFormat="1" applyFont="1" applyFill="1" applyAlignment="1">
      <alignment horizontal="righ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0" fontId="3" fillId="3" borderId="2" xfId="0" applyNumberFormat="1" applyFont="1" applyFill="1" applyBorder="1" applyAlignment="1">
      <alignment vertical="center"/>
    </xf>
    <xf numFmtId="0" fontId="18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796682-A04F-4027-8F6F-B2F26619D7EC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8495E88-5854-4FDC-AE15-2E9C275858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C230E00-1F7C-4991-9B52-4F73B6921DF5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A634023-352B-4FD2-82F0-57F72C3CBFD5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05BE845-FB38-49E9-B482-191BD776647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FE65B3C-73A4-4E1E-8377-4F8A4B442D0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D646317-4498-44B5-B738-AD2C02451944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F49DE8-B40E-4498-9B65-1BEBDFF45A47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8BB935C-77FB-4291-9A8D-D67389DD4AFD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D507E3D7-BFC4-468B-A556-EFA322AD1DBA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E12E914-2ACF-4513-8CFF-4D1289B4EBD3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4206238-26CD-48DA-A944-E0E4B01DE52A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117A88AD-A134-4A03-BFF1-711C7644392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BCB52B6-4E9B-4762-A232-6DC7ADA07ED3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3F5E43BC-EBDB-4005-ADE3-7CDE1E5BFCF3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5C4F89E-6070-4B8E-9AB4-1A064B739F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AC603A-AAC5-4909-9ED2-DB879147E0E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5398BAB-2233-494F-9CD3-4B91BB0B6D4B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EF822136-5F82-43E7-8E3D-20E332A3ECA9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20BA125-710A-4ED9-AE65-842BC7C5C04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BAA6C-0E0C-413F-AAC9-80131B6BA5B8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E481A6C-BAF5-45EC-896F-4DC442D08D36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FFDB45F1-4036-4758-BD10-D338446E55D2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63EDD7A-ADAC-4934-BB0F-42B6AA87B470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19C3AFBC-4EEC-412E-9159-81D8C8B96885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3E3A3AB-0C47-49B6-A095-2BFEBB4157A8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6303123-C3DC-4310-B117-142D6F6CF024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CFC016-44EE-4D4A-B588-76C02394CDB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9DACD40-3760-4282-81AA-AE9747EBDD94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485A232-723E-4472-A1D9-2B0FD4962CB1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503695</xdr:colOff>
      <xdr:row>193</xdr:row>
      <xdr:rowOff>43071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AFA77-3059-E380-BD86-4CC11A72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38095" cy="36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5%20Cost%20Adjustment.xlsx" TargetMode="External"/><Relationship Id="rId2" Type="http://schemas.microsoft.com/office/2019/04/relationships/externalLinkLongPath" Target="Cost%20Adjustment%20Workpapers%20-%20Original%20Submitted%20on%2010.30.24/TO5%20Cycle%205%20Cost%20Adjustment.xlsx?24C9AEB6" TargetMode="External"/><Relationship Id="rId1" Type="http://schemas.openxmlformats.org/officeDocument/2006/relationships/externalLinkPath" Target="file:///\\24C9AEB6\TO5%20Cycle%205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5 Cost Adj"/>
      <sheetName val="Pg2 TO5 C5 BK-1 Comparison"/>
      <sheetName val="Pg3 BK-1 Rev TO5 C5"/>
      <sheetName val="Pg4 As Filed BK-1 TO5 C5 FERC"/>
      <sheetName val="Pg5 BK-1 As Filed TO5 C5 Cost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5 Int Calc"/>
    </sheetNames>
    <sheetDataSet>
      <sheetData sheetId="0" refreshError="1"/>
      <sheetData sheetId="1">
        <row r="97">
          <cell r="B97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4871929.9250013307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view="pageBreakPreview" zoomScale="60" zoomScaleNormal="100" workbookViewId="0">
      <selection activeCell="B27" sqref="B27"/>
    </sheetView>
  </sheetViews>
  <sheetFormatPr defaultColWidth="9.140625" defaultRowHeight="15" x14ac:dyDescent="0.25"/>
  <cols>
    <col min="1" max="1" width="4.85546875" style="119" bestFit="1" customWidth="1"/>
    <col min="2" max="2" width="71.5703125" style="119" customWidth="1"/>
    <col min="3" max="3" width="1.5703125" style="119" customWidth="1"/>
    <col min="4" max="4" width="20.85546875" style="119" customWidth="1"/>
    <col min="5" max="5" width="1.5703125" style="119" customWidth="1"/>
    <col min="6" max="6" width="45.140625" style="119" customWidth="1"/>
    <col min="7" max="7" width="4.85546875" style="119" customWidth="1"/>
    <col min="8" max="8" width="11.140625" style="119" customWidth="1"/>
    <col min="9" max="16384" width="9.140625" style="119"/>
  </cols>
  <sheetData>
    <row r="2" spans="1:8" ht="18.75" x14ac:dyDescent="0.25">
      <c r="B2" s="120" t="s">
        <v>0</v>
      </c>
      <c r="C2" s="120"/>
      <c r="D2" s="121"/>
      <c r="E2" s="121"/>
      <c r="F2" s="121"/>
    </row>
    <row r="3" spans="1:8" ht="18.75" x14ac:dyDescent="0.25">
      <c r="B3" s="138" t="s">
        <v>241</v>
      </c>
      <c r="C3" s="120"/>
      <c r="D3" s="121"/>
      <c r="E3" s="121"/>
      <c r="F3" s="121"/>
    </row>
    <row r="4" spans="1:8" ht="18.75" x14ac:dyDescent="0.3">
      <c r="B4" s="122" t="s">
        <v>209</v>
      </c>
      <c r="C4" s="120"/>
      <c r="D4" s="120"/>
      <c r="E4" s="120"/>
      <c r="F4" s="120"/>
    </row>
    <row r="5" spans="1:8" ht="15.75" x14ac:dyDescent="0.25">
      <c r="B5" s="311" t="s">
        <v>1</v>
      </c>
      <c r="C5" s="311"/>
      <c r="D5" s="311"/>
      <c r="E5" s="311"/>
      <c r="F5" s="311"/>
      <c r="G5" s="1"/>
      <c r="H5" s="1"/>
    </row>
    <row r="6" spans="1:8" ht="15.75" x14ac:dyDescent="0.25">
      <c r="B6" s="4"/>
      <c r="C6" s="4"/>
      <c r="D6" s="123"/>
      <c r="E6" s="124"/>
      <c r="F6" s="4"/>
      <c r="G6" s="4"/>
    </row>
    <row r="7" spans="1:8" ht="15.75" x14ac:dyDescent="0.25">
      <c r="A7" s="2" t="s">
        <v>2</v>
      </c>
      <c r="B7" s="125" t="s">
        <v>3</v>
      </c>
      <c r="C7" s="125"/>
      <c r="D7" s="125" t="s">
        <v>4</v>
      </c>
      <c r="E7" s="126"/>
      <c r="F7" s="125" t="s">
        <v>5</v>
      </c>
      <c r="G7" s="2" t="s">
        <v>2</v>
      </c>
    </row>
    <row r="8" spans="1:8" ht="15.75" x14ac:dyDescent="0.25">
      <c r="A8" s="3" t="s">
        <v>6</v>
      </c>
      <c r="B8" s="4"/>
      <c r="C8" s="4"/>
      <c r="D8" s="127"/>
      <c r="E8" s="127"/>
      <c r="F8" s="127"/>
      <c r="G8" s="3" t="s">
        <v>6</v>
      </c>
    </row>
    <row r="9" spans="1:8" ht="15.75" x14ac:dyDescent="0.25">
      <c r="A9" s="2">
        <v>1</v>
      </c>
      <c r="B9" s="124" t="s">
        <v>242</v>
      </c>
      <c r="C9" s="124"/>
      <c r="D9" s="127"/>
      <c r="E9" s="127"/>
      <c r="F9" s="127"/>
      <c r="G9" s="2">
        <v>1</v>
      </c>
    </row>
    <row r="10" spans="1:8" ht="15.75" x14ac:dyDescent="0.25">
      <c r="A10" s="2">
        <f>A9+1</f>
        <v>2</v>
      </c>
      <c r="B10" s="4" t="s">
        <v>7</v>
      </c>
      <c r="C10" s="126"/>
      <c r="D10" s="128">
        <f>'Pg2 BK-1 Comparison TO5 C5 '!I95</f>
        <v>-19055.781399849104</v>
      </c>
      <c r="E10" s="128"/>
      <c r="F10" s="127" t="s">
        <v>233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126"/>
      <c r="D11" s="128"/>
      <c r="E11" s="128"/>
      <c r="F11" s="127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8</v>
      </c>
      <c r="C12" s="127"/>
      <c r="D12" s="129">
        <f>'Pg7 TO5 C5 Int Calc'!G76</f>
        <v>-6510.0571854339041</v>
      </c>
      <c r="E12" s="130"/>
      <c r="F12" s="154" t="s">
        <v>235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127"/>
      <c r="D13" s="131"/>
      <c r="E13" s="131"/>
      <c r="F13" s="127"/>
      <c r="G13" s="2">
        <f t="shared" si="1"/>
        <v>5</v>
      </c>
    </row>
    <row r="14" spans="1:8" ht="15.75" x14ac:dyDescent="0.25">
      <c r="A14" s="2">
        <f t="shared" si="0"/>
        <v>6</v>
      </c>
      <c r="B14" s="132" t="s">
        <v>9</v>
      </c>
      <c r="C14" s="126"/>
      <c r="D14" s="133">
        <f>D10+D12</f>
        <v>-25565.838585283007</v>
      </c>
      <c r="E14" s="128"/>
      <c r="F14" s="154" t="s">
        <v>236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127"/>
      <c r="D15" s="6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10</v>
      </c>
      <c r="C16" s="126"/>
      <c r="D16" s="9">
        <f>ROUND(D14*0.010275,0)</f>
        <v>-263</v>
      </c>
      <c r="E16" s="4"/>
      <c r="F16" s="2" t="s">
        <v>237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127"/>
      <c r="D17" s="6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134" t="s">
        <v>167</v>
      </c>
      <c r="C18" s="127"/>
      <c r="D18" s="6">
        <f>SUM(D14:D16)</f>
        <v>-25828.838585283007</v>
      </c>
      <c r="E18" s="4"/>
      <c r="F18" s="154" t="s">
        <v>238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127"/>
      <c r="D19" s="6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11</v>
      </c>
      <c r="C20" s="126"/>
      <c r="D20" s="9">
        <f>ROUND(D14*0.00173,0)</f>
        <v>-44</v>
      </c>
      <c r="E20" s="4"/>
      <c r="F20" s="2" t="s">
        <v>239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127"/>
      <c r="D21" s="135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134" t="s">
        <v>168</v>
      </c>
      <c r="C22" s="126"/>
      <c r="D22" s="136">
        <f>SUM(D18:D21)</f>
        <v>-25872.838585283007</v>
      </c>
      <c r="E22" s="4"/>
      <c r="F22" s="154" t="s">
        <v>240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137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55"/>
      <c r="B28" s="153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37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O200"/>
  <sheetViews>
    <sheetView view="pageBreakPreview" zoomScale="60" zoomScaleNormal="80" workbookViewId="0">
      <selection activeCell="L29" sqref="L29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1.5703125" style="7" customWidth="1"/>
    <col min="7" max="7" width="18.42578125" style="7" customWidth="1"/>
    <col min="8" max="8" width="1.5703125" style="7" customWidth="1"/>
    <col min="9" max="9" width="14.710937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5" x14ac:dyDescent="0.25">
      <c r="A1" s="297"/>
      <c r="L1"/>
      <c r="M1"/>
      <c r="N1"/>
      <c r="O1"/>
    </row>
    <row r="2" spans="1:15" x14ac:dyDescent="0.25">
      <c r="A2" s="8"/>
      <c r="B2" s="316" t="s">
        <v>152</v>
      </c>
      <c r="C2" s="315"/>
      <c r="D2" s="315"/>
      <c r="E2" s="315"/>
      <c r="F2" s="315"/>
      <c r="G2" s="315"/>
      <c r="H2" s="315"/>
      <c r="I2" s="315"/>
      <c r="J2" s="315"/>
      <c r="L2"/>
      <c r="M2"/>
      <c r="N2"/>
      <c r="O2"/>
    </row>
    <row r="3" spans="1:15" x14ac:dyDescent="0.25">
      <c r="A3" s="8" t="s">
        <v>12</v>
      </c>
      <c r="B3" s="316" t="s">
        <v>13</v>
      </c>
      <c r="C3" s="315"/>
      <c r="D3" s="315"/>
      <c r="E3" s="315"/>
      <c r="F3" s="315"/>
      <c r="G3" s="315"/>
      <c r="H3" s="315"/>
      <c r="I3" s="315"/>
      <c r="J3" s="315"/>
      <c r="L3"/>
      <c r="M3"/>
      <c r="N3"/>
      <c r="O3"/>
    </row>
    <row r="4" spans="1:15" ht="17.25" x14ac:dyDescent="0.25">
      <c r="A4" s="8"/>
      <c r="B4" s="316" t="s">
        <v>153</v>
      </c>
      <c r="C4" s="317"/>
      <c r="D4" s="317"/>
      <c r="E4" s="317"/>
      <c r="F4" s="317"/>
      <c r="G4" s="317"/>
      <c r="H4" s="317"/>
      <c r="I4" s="317"/>
      <c r="J4" s="317"/>
      <c r="L4"/>
      <c r="M4"/>
      <c r="N4"/>
      <c r="O4"/>
    </row>
    <row r="5" spans="1:15" x14ac:dyDescent="0.25">
      <c r="A5" s="8"/>
      <c r="B5" s="318" t="s">
        <v>210</v>
      </c>
      <c r="C5" s="318"/>
      <c r="D5" s="318"/>
      <c r="E5" s="318"/>
      <c r="F5" s="318"/>
      <c r="G5" s="318"/>
      <c r="H5" s="318"/>
      <c r="I5" s="318"/>
      <c r="J5" s="318"/>
      <c r="L5"/>
      <c r="M5"/>
      <c r="N5"/>
      <c r="O5"/>
    </row>
    <row r="6" spans="1:15" x14ac:dyDescent="0.25">
      <c r="A6" s="8"/>
      <c r="B6" s="314" t="s">
        <v>1</v>
      </c>
      <c r="C6" s="315"/>
      <c r="D6" s="315"/>
      <c r="E6" s="315"/>
      <c r="F6" s="315"/>
      <c r="G6" s="315"/>
      <c r="H6" s="315"/>
      <c r="I6" s="315"/>
      <c r="J6" s="315"/>
      <c r="L6"/>
      <c r="M6"/>
      <c r="N6"/>
      <c r="O6"/>
    </row>
    <row r="7" spans="1:15" x14ac:dyDescent="0.25">
      <c r="A7" s="8"/>
      <c r="B7" s="29"/>
      <c r="C7" s="27"/>
      <c r="D7" s="27"/>
      <c r="E7" s="232" t="s">
        <v>406</v>
      </c>
      <c r="F7"/>
      <c r="G7" s="232" t="s">
        <v>407</v>
      </c>
      <c r="H7"/>
      <c r="I7" s="232" t="s">
        <v>408</v>
      </c>
      <c r="J7" s="27"/>
      <c r="L7"/>
      <c r="M7"/>
      <c r="N7"/>
      <c r="O7"/>
    </row>
    <row r="8" spans="1:15" ht="34.5" x14ac:dyDescent="0.25">
      <c r="A8" s="8" t="s">
        <v>2</v>
      </c>
      <c r="E8" s="233" t="s">
        <v>409</v>
      </c>
      <c r="F8" s="5"/>
      <c r="G8" s="233" t="s">
        <v>419</v>
      </c>
      <c r="H8" s="5"/>
      <c r="I8" s="234" t="s">
        <v>410</v>
      </c>
      <c r="J8" s="8"/>
      <c r="K8" s="8" t="s">
        <v>2</v>
      </c>
      <c r="L8"/>
      <c r="M8"/>
      <c r="N8"/>
      <c r="O8"/>
    </row>
    <row r="9" spans="1:15" ht="15.75" customHeight="1" x14ac:dyDescent="0.25">
      <c r="A9" s="32" t="s">
        <v>6</v>
      </c>
      <c r="B9" s="27" t="s">
        <v>12</v>
      </c>
      <c r="E9" s="235" t="s">
        <v>411</v>
      </c>
      <c r="F9" s="236"/>
      <c r="G9" s="235" t="s">
        <v>412</v>
      </c>
      <c r="H9" s="236"/>
      <c r="I9" s="237" t="s">
        <v>413</v>
      </c>
      <c r="J9" s="32" t="s">
        <v>5</v>
      </c>
      <c r="K9" s="32" t="s">
        <v>6</v>
      </c>
      <c r="L9"/>
      <c r="M9"/>
      <c r="N9"/>
      <c r="O9"/>
    </row>
    <row r="10" spans="1:15" x14ac:dyDescent="0.25">
      <c r="A10" s="33"/>
      <c r="B10" s="14" t="s">
        <v>14</v>
      </c>
      <c r="G10" s="34"/>
      <c r="J10" s="8"/>
      <c r="K10" s="33"/>
    </row>
    <row r="11" spans="1:15" x14ac:dyDescent="0.25">
      <c r="A11" s="8">
        <v>1</v>
      </c>
      <c r="B11" s="10" t="s">
        <v>15</v>
      </c>
      <c r="C11" s="35"/>
      <c r="D11" s="35"/>
      <c r="E11" s="116">
        <f>'Pg3 BK-1 TO5 C5_Revised'!E11</f>
        <v>100282.34526999999</v>
      </c>
      <c r="F11" s="35"/>
      <c r="G11" s="116">
        <f>'Pg4 BK-1 TO5 C5_As Filed'!E12</f>
        <v>100282.34526999999</v>
      </c>
      <c r="H11" s="12"/>
      <c r="I11" s="254">
        <f>E11-G11</f>
        <v>0</v>
      </c>
      <c r="J11" s="8" t="s">
        <v>154</v>
      </c>
      <c r="K11" s="8">
        <f>A11</f>
        <v>1</v>
      </c>
      <c r="L11" s="36"/>
    </row>
    <row r="12" spans="1:15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F12" s="35"/>
      <c r="G12" s="37" t="s">
        <v>12</v>
      </c>
      <c r="I12" s="236"/>
      <c r="J12" s="8"/>
      <c r="K12" s="8">
        <f t="shared" ref="K12:K40" si="1">K11+1</f>
        <v>2</v>
      </c>
      <c r="L12" s="36"/>
    </row>
    <row r="13" spans="1:15" x14ac:dyDescent="0.25">
      <c r="A13" s="8">
        <f t="shared" si="0"/>
        <v>3</v>
      </c>
      <c r="B13" s="10" t="s">
        <v>17</v>
      </c>
      <c r="C13" s="35"/>
      <c r="D13" s="35"/>
      <c r="E13" s="242">
        <f>'Pg3 BK-1 TO5 C5_Revised'!E13</f>
        <v>98818</v>
      </c>
      <c r="F13" s="35"/>
      <c r="G13" s="242">
        <f>'Pg4 BK-1 TO5 C5_As Filed'!E14</f>
        <v>98818</v>
      </c>
      <c r="H13" s="12"/>
      <c r="I13" s="255">
        <f>E13-G13</f>
        <v>0</v>
      </c>
      <c r="J13" s="8" t="s">
        <v>220</v>
      </c>
      <c r="K13" s="8">
        <f t="shared" si="1"/>
        <v>3</v>
      </c>
      <c r="L13" s="36"/>
    </row>
    <row r="14" spans="1:15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36"/>
      <c r="J14" s="8"/>
      <c r="K14" s="8">
        <f t="shared" si="1"/>
        <v>4</v>
      </c>
      <c r="M14" s="39"/>
    </row>
    <row r="15" spans="1:15" x14ac:dyDescent="0.25">
      <c r="A15" s="8">
        <f t="shared" si="0"/>
        <v>5</v>
      </c>
      <c r="B15" s="10" t="s">
        <v>18</v>
      </c>
      <c r="C15" s="35"/>
      <c r="D15" s="35"/>
      <c r="E15" s="40">
        <f>'Pg3 BK-1 TO5 C5_Revised'!E15</f>
        <v>0</v>
      </c>
      <c r="F15" s="35"/>
      <c r="G15" s="40">
        <f>'Pg4 BK-1 TO5 C5_As Filed'!E16</f>
        <v>0</v>
      </c>
      <c r="I15" s="256">
        <f>E15-G15</f>
        <v>0</v>
      </c>
      <c r="J15" s="8" t="s">
        <v>207</v>
      </c>
      <c r="K15" s="8">
        <f t="shared" si="1"/>
        <v>5</v>
      </c>
      <c r="M15" s="39"/>
    </row>
    <row r="16" spans="1:15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35"/>
      <c r="G16" s="50">
        <f>G11+G13+G15</f>
        <v>199100.34526999999</v>
      </c>
      <c r="H16" s="12"/>
      <c r="I16" s="279">
        <f>I11+I13+I15</f>
        <v>0</v>
      </c>
      <c r="J16" s="8" t="s">
        <v>20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36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21</v>
      </c>
      <c r="C18" s="35"/>
      <c r="D18" s="35"/>
      <c r="E18" s="243">
        <f>'Pg3 BK-1 TO5 C5_Revised'!E18</f>
        <v>241672.36250622445</v>
      </c>
      <c r="F18" s="35"/>
      <c r="G18" s="243">
        <f>'Pg4 BK-1 TO5 C5_As Filed'!E19</f>
        <v>241672.36250622445</v>
      </c>
      <c r="H18" s="12"/>
      <c r="I18" s="255">
        <f>E18-G18</f>
        <v>0</v>
      </c>
      <c r="J18" s="8" t="s">
        <v>221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12</v>
      </c>
      <c r="G19" s="44" t="s">
        <v>12</v>
      </c>
      <c r="I19" s="236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418</v>
      </c>
      <c r="E20" s="45">
        <f>'Pg3 BK-1 TO5 C5_Revised'!E20</f>
        <v>0</v>
      </c>
      <c r="G20" s="45">
        <f>'Pg4 BK-1 TO5 C5_As Filed'!E21</f>
        <v>0</v>
      </c>
      <c r="I20" s="255">
        <f>E20-G20</f>
        <v>0</v>
      </c>
      <c r="J20" s="8" t="s">
        <v>155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36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23</v>
      </c>
      <c r="C22" s="35"/>
      <c r="D22" s="35"/>
      <c r="E22" s="244">
        <f>'Pg3 BK-1 TO5 C5_Revised'!E22</f>
        <v>63645.008378442893</v>
      </c>
      <c r="F22" s="35"/>
      <c r="G22" s="244">
        <f>'Pg4 BK-1 TO5 C5_As Filed'!E23</f>
        <v>63645.008378442893</v>
      </c>
      <c r="H22" s="12"/>
      <c r="I22" s="6">
        <f>E22-G22</f>
        <v>0</v>
      </c>
      <c r="J22" s="8" t="s">
        <v>222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36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24</v>
      </c>
      <c r="C24" s="35"/>
      <c r="D24" s="35"/>
      <c r="E24" s="47">
        <f>'Pg3 BK-1 TO5 C5_Revised'!E24</f>
        <v>3394.3201018580767</v>
      </c>
      <c r="F24" s="35"/>
      <c r="G24" s="47">
        <f>'Pg4 BK-1 TO5 C5_As Filed'!E25</f>
        <v>3394.3201018580767</v>
      </c>
      <c r="H24" s="27"/>
      <c r="I24" s="256">
        <f>E24-G24</f>
        <v>0</v>
      </c>
      <c r="J24" s="8" t="s">
        <v>25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26</v>
      </c>
      <c r="C25" s="35"/>
      <c r="D25" s="35"/>
      <c r="E25" s="18">
        <f>SUM(E16+E18+E20+E22+E24)</f>
        <v>507812.03625652543</v>
      </c>
      <c r="F25" s="35"/>
      <c r="G25" s="18">
        <f>SUM(G16+G18+G20+G22+G24)</f>
        <v>507812.03625652543</v>
      </c>
      <c r="H25" s="12"/>
      <c r="I25" s="280">
        <f>SUM(I16:I24)</f>
        <v>0</v>
      </c>
      <c r="J25" s="8" t="s">
        <v>27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36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28</v>
      </c>
      <c r="C27" s="35"/>
      <c r="D27" s="35"/>
      <c r="E27" s="49">
        <f>'Pg3 BK-1 TO5 C5_Revised'!E27</f>
        <v>9.5313892619011159E-2</v>
      </c>
      <c r="F27" s="35"/>
      <c r="G27" s="49">
        <f>'Pg4 BK-1 TO5 C5_As Filed'!E28</f>
        <v>9.5313887943714093E-2</v>
      </c>
      <c r="H27" s="12"/>
      <c r="I27" s="277">
        <f>E27-G27</f>
        <v>4.6752970661589899E-9</v>
      </c>
      <c r="J27" s="8" t="s">
        <v>223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29</v>
      </c>
      <c r="C28" s="35"/>
      <c r="D28" s="35"/>
      <c r="E28" s="58">
        <f>E140</f>
        <v>4871929.9250013307</v>
      </c>
      <c r="F28" s="35"/>
      <c r="G28" s="58">
        <f>G140</f>
        <v>4871929.9250013307</v>
      </c>
      <c r="H28" s="12"/>
      <c r="I28" s="256">
        <f>E28-G28</f>
        <v>0</v>
      </c>
      <c r="J28" s="8" t="s">
        <v>156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30</v>
      </c>
      <c r="C29" s="35"/>
      <c r="D29" s="35"/>
      <c r="E29" s="238">
        <f>E28*E27</f>
        <v>464362.60571892391</v>
      </c>
      <c r="F29" s="35"/>
      <c r="G29" s="238">
        <f>G28*G27</f>
        <v>464362.58294120425</v>
      </c>
      <c r="H29" s="12"/>
      <c r="I29" s="251">
        <f>E29-G29</f>
        <v>2.2777719656005502E-2</v>
      </c>
      <c r="J29" s="8" t="s">
        <v>31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51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32</v>
      </c>
      <c r="C31" s="35"/>
      <c r="D31" s="35"/>
      <c r="E31" s="299">
        <f>'Pg3 BK-1 TO5 C5_Revised'!E31</f>
        <v>0</v>
      </c>
      <c r="F31" s="117" t="s">
        <v>16</v>
      </c>
      <c r="G31" s="300">
        <f>'Pg4 BK-1 TO5 C5_As Filed'!E32</f>
        <v>3.9113461135350091E-3</v>
      </c>
      <c r="H31" s="27"/>
      <c r="I31" s="278">
        <f>E31-G31</f>
        <v>-3.9113461135350091E-3</v>
      </c>
      <c r="J31" s="8" t="s">
        <v>428</v>
      </c>
      <c r="K31" s="8">
        <f t="shared" si="1"/>
        <v>21</v>
      </c>
      <c r="L31" s="10"/>
    </row>
    <row r="32" spans="1:12" x14ac:dyDescent="0.25">
      <c r="A32" s="8">
        <f t="shared" si="0"/>
        <v>22</v>
      </c>
      <c r="B32" s="10" t="s">
        <v>29</v>
      </c>
      <c r="C32" s="35"/>
      <c r="D32" s="35"/>
      <c r="E32" s="301">
        <f>E140-E123</f>
        <v>4871929.9250013307</v>
      </c>
      <c r="F32" s="35"/>
      <c r="G32" s="301">
        <f>G140-G123</f>
        <v>4871929.9250013307</v>
      </c>
      <c r="H32" s="12"/>
      <c r="I32" s="280">
        <f>E32-G32</f>
        <v>0</v>
      </c>
      <c r="J32" s="8" t="s">
        <v>33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34</v>
      </c>
      <c r="E33" s="286">
        <f>E32*E31</f>
        <v>0</v>
      </c>
      <c r="F33" s="117" t="s">
        <v>16</v>
      </c>
      <c r="G33" s="238">
        <f>G32*G31</f>
        <v>19055.804177568862</v>
      </c>
      <c r="H33" s="12"/>
      <c r="I33" s="250">
        <f>E33-G33</f>
        <v>-19055.804177568862</v>
      </c>
      <c r="J33" s="8" t="s">
        <v>35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51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36</v>
      </c>
      <c r="E35" s="51">
        <f>'Pg3 BK-1 TO5 C5_Revised'!E35</f>
        <v>1304.0991895338727</v>
      </c>
      <c r="G35" s="51">
        <f>'Pg4 BK-1 TO5 C5_As Filed'!E36</f>
        <v>1304.0991895338727</v>
      </c>
      <c r="I35" s="260">
        <f t="shared" ref="I35:I38" si="2">E35-G35</f>
        <v>0</v>
      </c>
      <c r="J35" s="8" t="s">
        <v>37</v>
      </c>
      <c r="K35" s="8">
        <f t="shared" si="1"/>
        <v>25</v>
      </c>
      <c r="L35" s="10"/>
    </row>
    <row r="36" spans="1:12" x14ac:dyDescent="0.25">
      <c r="A36" s="8">
        <f t="shared" si="0"/>
        <v>26</v>
      </c>
      <c r="B36" s="7" t="s">
        <v>38</v>
      </c>
      <c r="E36" s="52">
        <f>'Pg3 BK-1 TO5 C5_Revised'!E36</f>
        <v>-5774.4090000000006</v>
      </c>
      <c r="G36" s="52">
        <f>'Pg4 BK-1 TO5 C5_As Filed'!E37</f>
        <v>-5774.4090000000006</v>
      </c>
      <c r="H36" s="12"/>
      <c r="I36" s="255">
        <f t="shared" si="2"/>
        <v>0</v>
      </c>
      <c r="J36" s="8" t="s">
        <v>39</v>
      </c>
      <c r="K36" s="8">
        <f t="shared" si="1"/>
        <v>26</v>
      </c>
      <c r="L36" s="10"/>
    </row>
    <row r="37" spans="1:12" x14ac:dyDescent="0.25">
      <c r="A37" s="8">
        <f t="shared" si="0"/>
        <v>27</v>
      </c>
      <c r="B37" s="7" t="s">
        <v>40</v>
      </c>
      <c r="E37" s="53">
        <f>'Pg3 BK-1 TO5 C5_Revised'!E37</f>
        <v>0</v>
      </c>
      <c r="G37" s="53">
        <f>'Pg4 BK-1 TO5 C5_As Filed'!E38</f>
        <v>0</v>
      </c>
      <c r="I37" s="255">
        <f t="shared" si="2"/>
        <v>0</v>
      </c>
      <c r="J37" s="8" t="s">
        <v>41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42</v>
      </c>
      <c r="E38" s="54">
        <f>'Pg3 BK-1 TO5 C5_Revised'!E38</f>
        <v>0</v>
      </c>
      <c r="G38" s="54">
        <f>'Pg4 BK-1 TO5 C5_As Filed'!E39</f>
        <v>0</v>
      </c>
      <c r="I38" s="256">
        <f t="shared" si="2"/>
        <v>0</v>
      </c>
      <c r="J38" s="8" t="s">
        <v>43</v>
      </c>
      <c r="K38" s="8">
        <f t="shared" si="1"/>
        <v>28</v>
      </c>
      <c r="L38" s="10"/>
    </row>
    <row r="39" spans="1:12" x14ac:dyDescent="0.25">
      <c r="A39" s="8">
        <f t="shared" si="0"/>
        <v>29</v>
      </c>
      <c r="E39" s="44" t="s">
        <v>12</v>
      </c>
      <c r="G39" s="44" t="s">
        <v>12</v>
      </c>
      <c r="I39" s="236"/>
      <c r="J39" s="8"/>
      <c r="K39" s="8">
        <f t="shared" si="1"/>
        <v>29</v>
      </c>
      <c r="L39" s="10"/>
    </row>
    <row r="40" spans="1:12" ht="19.5" thickBot="1" x14ac:dyDescent="0.3">
      <c r="A40" s="8">
        <f t="shared" si="0"/>
        <v>30</v>
      </c>
      <c r="B40" s="7" t="s">
        <v>44</v>
      </c>
      <c r="C40" s="35"/>
      <c r="D40" s="35"/>
      <c r="E40" s="287">
        <f>E29+E33+E25+SUM(E35:E38)</f>
        <v>967704.33216498327</v>
      </c>
      <c r="F40" s="117" t="s">
        <v>16</v>
      </c>
      <c r="G40" s="24">
        <f>G29+G33+G25+SUM(G35:G38)</f>
        <v>986760.11356483237</v>
      </c>
      <c r="H40" s="117"/>
      <c r="I40" s="274">
        <f>E40-G40</f>
        <v>-19055.781399849104</v>
      </c>
      <c r="J40" s="25" t="s">
        <v>45</v>
      </c>
      <c r="K40" s="8">
        <f t="shared" si="1"/>
        <v>30</v>
      </c>
      <c r="L40" s="10"/>
    </row>
    <row r="41" spans="1:12" ht="16.5" thickTop="1" x14ac:dyDescent="0.25">
      <c r="A41" s="8"/>
      <c r="C41" s="35"/>
      <c r="D41" s="35"/>
      <c r="E41" s="35"/>
      <c r="F41" s="35"/>
      <c r="G41" s="64"/>
      <c r="H41" s="117"/>
      <c r="I41" s="117"/>
      <c r="J41" s="25"/>
      <c r="L41" s="10"/>
    </row>
    <row r="42" spans="1:12" x14ac:dyDescent="0.25">
      <c r="A42" s="8"/>
      <c r="C42" s="35"/>
      <c r="D42" s="35"/>
      <c r="E42" s="35"/>
      <c r="F42" s="35"/>
      <c r="G42" s="21"/>
      <c r="H42" s="27"/>
      <c r="I42" s="27"/>
      <c r="J42" s="8"/>
      <c r="L42" s="10"/>
    </row>
    <row r="43" spans="1:12" x14ac:dyDescent="0.25">
      <c r="A43" s="12" t="s">
        <v>16</v>
      </c>
      <c r="B43" s="5" t="s">
        <v>405</v>
      </c>
      <c r="C43" s="35"/>
      <c r="D43" s="35"/>
      <c r="E43" s="35"/>
      <c r="F43" s="35"/>
      <c r="G43" s="21"/>
      <c r="H43" s="27"/>
      <c r="I43" s="27"/>
      <c r="J43" s="8"/>
      <c r="L43" s="10"/>
    </row>
    <row r="44" spans="1:12" ht="18.75" x14ac:dyDescent="0.25">
      <c r="A44" s="13">
        <v>1</v>
      </c>
      <c r="B44" s="7" t="s">
        <v>417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46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16" t="s">
        <v>152</v>
      </c>
      <c r="C48" s="315"/>
      <c r="D48" s="315"/>
      <c r="E48" s="315"/>
      <c r="F48" s="315"/>
      <c r="G48" s="315"/>
      <c r="H48" s="315"/>
      <c r="I48" s="315"/>
      <c r="J48" s="315"/>
      <c r="K48" s="33"/>
      <c r="L48" s="36"/>
    </row>
    <row r="49" spans="1:12" x14ac:dyDescent="0.25">
      <c r="A49" s="33"/>
      <c r="B49" s="316" t="s">
        <v>13</v>
      </c>
      <c r="C49" s="315"/>
      <c r="D49" s="315"/>
      <c r="E49" s="315"/>
      <c r="F49" s="315"/>
      <c r="G49" s="315"/>
      <c r="H49" s="315"/>
      <c r="I49" s="315"/>
      <c r="J49" s="315"/>
      <c r="K49" s="33"/>
      <c r="L49" s="36"/>
    </row>
    <row r="50" spans="1:12" ht="17.25" x14ac:dyDescent="0.25">
      <c r="A50" s="33"/>
      <c r="B50" s="316" t="s">
        <v>153</v>
      </c>
      <c r="C50" s="317"/>
      <c r="D50" s="317"/>
      <c r="E50" s="317"/>
      <c r="F50" s="317"/>
      <c r="G50" s="317"/>
      <c r="H50" s="317"/>
      <c r="I50" s="317"/>
      <c r="J50" s="317"/>
      <c r="K50" s="33"/>
      <c r="L50" s="36"/>
    </row>
    <row r="51" spans="1:12" x14ac:dyDescent="0.25">
      <c r="A51" s="33"/>
      <c r="B51" s="312" t="str">
        <f>B5</f>
        <v>For the Base Period &amp; True-Up Period Ending December 31, 2021</v>
      </c>
      <c r="C51" s="313"/>
      <c r="D51" s="313"/>
      <c r="E51" s="313"/>
      <c r="F51" s="313"/>
      <c r="G51" s="313"/>
      <c r="H51" s="313"/>
      <c r="I51" s="313"/>
      <c r="J51" s="313"/>
      <c r="K51" s="33"/>
      <c r="L51" s="36"/>
    </row>
    <row r="52" spans="1:12" x14ac:dyDescent="0.25">
      <c r="A52" s="33"/>
      <c r="B52" s="314" t="s">
        <v>1</v>
      </c>
      <c r="C52" s="315"/>
      <c r="D52" s="315"/>
      <c r="E52" s="315"/>
      <c r="F52" s="315"/>
      <c r="G52" s="315"/>
      <c r="H52" s="315"/>
      <c r="I52" s="315"/>
      <c r="J52" s="315"/>
      <c r="K52" s="33"/>
      <c r="L52" s="36"/>
    </row>
    <row r="53" spans="1:12" x14ac:dyDescent="0.25">
      <c r="A53" s="33"/>
      <c r="C53" s="35"/>
      <c r="D53" s="35"/>
      <c r="E53" s="232" t="s">
        <v>406</v>
      </c>
      <c r="F53"/>
      <c r="G53" s="232" t="s">
        <v>407</v>
      </c>
      <c r="H53"/>
      <c r="I53" s="232" t="s">
        <v>408</v>
      </c>
      <c r="J53" s="33"/>
      <c r="K53" s="33"/>
      <c r="L53" s="36"/>
    </row>
    <row r="54" spans="1:12" ht="34.5" x14ac:dyDescent="0.25">
      <c r="A54" s="8" t="s">
        <v>2</v>
      </c>
      <c r="E54" s="233" t="str">
        <f>E8</f>
        <v xml:space="preserve">Revised TO5 Cycle 5 </v>
      </c>
      <c r="F54" s="5"/>
      <c r="G54" s="233" t="s">
        <v>419</v>
      </c>
      <c r="I54" s="234" t="s">
        <v>410</v>
      </c>
      <c r="J54" s="8"/>
      <c r="K54" s="8" t="s">
        <v>2</v>
      </c>
      <c r="L54" s="36"/>
    </row>
    <row r="55" spans="1:12" x14ac:dyDescent="0.25">
      <c r="A55" s="8" t="s">
        <v>6</v>
      </c>
      <c r="B55" s="27" t="s">
        <v>12</v>
      </c>
      <c r="E55" s="235" t="s">
        <v>411</v>
      </c>
      <c r="G55" s="31" t="s">
        <v>4</v>
      </c>
      <c r="I55" s="237" t="s">
        <v>413</v>
      </c>
      <c r="J55" s="32" t="s">
        <v>5</v>
      </c>
      <c r="K55" s="8" t="s">
        <v>6</v>
      </c>
      <c r="L55" s="36"/>
    </row>
    <row r="56" spans="1:12" ht="18.75" x14ac:dyDescent="0.25">
      <c r="A56" s="33"/>
      <c r="B56" s="14" t="s">
        <v>420</v>
      </c>
      <c r="G56" s="8"/>
      <c r="J56" s="8"/>
      <c r="K56" s="33"/>
      <c r="L56" s="36"/>
    </row>
    <row r="57" spans="1:12" x14ac:dyDescent="0.25">
      <c r="A57" s="8">
        <v>1</v>
      </c>
      <c r="B57" s="10" t="s">
        <v>48</v>
      </c>
      <c r="C57" s="35"/>
      <c r="D57" s="35"/>
      <c r="E57" s="56">
        <f>'Pg3 BK-1 TO5 C5_Revised'!E56</f>
        <v>0</v>
      </c>
      <c r="F57" s="35"/>
      <c r="G57" s="56">
        <f>'Pg4 BK-1 TO5 C5_As Filed'!E57</f>
        <v>0</v>
      </c>
      <c r="I57" s="266">
        <f>E57-G57</f>
        <v>0</v>
      </c>
      <c r="J57" s="8" t="s">
        <v>49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6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50</v>
      </c>
      <c r="C59" s="35"/>
      <c r="D59" s="35"/>
      <c r="E59" s="49">
        <f>'Pg3 BK-1 TO5 C5_Revised'!E58</f>
        <v>1.6599077318567683E-2</v>
      </c>
      <c r="F59" s="35"/>
      <c r="G59" s="49">
        <f>'Pg4 BK-1 TO5 C5_As Filed'!E59</f>
        <v>1.6599077318567683E-2</v>
      </c>
      <c r="H59" s="57"/>
      <c r="I59" s="267">
        <f>E59-G59</f>
        <v>0</v>
      </c>
      <c r="J59" s="8" t="s">
        <v>225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51</v>
      </c>
      <c r="C60" s="35"/>
      <c r="D60" s="35"/>
      <c r="E60" s="58">
        <f>E145</f>
        <v>0</v>
      </c>
      <c r="F60" s="35"/>
      <c r="G60" s="58">
        <f>G145</f>
        <v>0</v>
      </c>
      <c r="I60" s="268">
        <f>E60-G60</f>
        <v>0</v>
      </c>
      <c r="J60" s="8" t="s">
        <v>52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53</v>
      </c>
      <c r="E61" s="15">
        <f>E60*E59</f>
        <v>0</v>
      </c>
      <c r="G61" s="15">
        <f>G60*G59</f>
        <v>0</v>
      </c>
      <c r="I61" s="266">
        <f>E61-G61</f>
        <v>0</v>
      </c>
      <c r="J61" s="8" t="s">
        <v>54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6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32</v>
      </c>
      <c r="E63" s="49">
        <f>'Pg3 BK-1 TO5 C5_Revised'!E62</f>
        <v>0</v>
      </c>
      <c r="G63" s="49">
        <f>'Pg4 BK-1 TO5 C5_As Filed'!E63</f>
        <v>0</v>
      </c>
      <c r="I63" s="267">
        <f>E63-G63</f>
        <v>0</v>
      </c>
      <c r="J63" s="8" t="s">
        <v>226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51</v>
      </c>
      <c r="E64" s="58">
        <f>E145</f>
        <v>0</v>
      </c>
      <c r="G64" s="58">
        <f>G145</f>
        <v>0</v>
      </c>
      <c r="I64" s="268">
        <f>E64-G64</f>
        <v>0</v>
      </c>
      <c r="J64" s="8" t="s">
        <v>52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34</v>
      </c>
      <c r="E65" s="15">
        <f>E64*E63</f>
        <v>0</v>
      </c>
      <c r="G65" s="15">
        <f>G64*G63</f>
        <v>0</v>
      </c>
      <c r="I65" s="266">
        <f>E65-G65</f>
        <v>0</v>
      </c>
      <c r="J65" s="8" t="s">
        <v>55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6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56</v>
      </c>
      <c r="E67" s="17">
        <f>E57+E61+E65</f>
        <v>0</v>
      </c>
      <c r="G67" s="17">
        <f>G57+G61+G65</f>
        <v>0</v>
      </c>
      <c r="I67" s="269">
        <f>E67-G67</f>
        <v>0</v>
      </c>
      <c r="J67" s="8" t="s">
        <v>57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6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421</v>
      </c>
      <c r="E69" s="18"/>
      <c r="G69" s="18"/>
      <c r="I69" s="266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59</v>
      </c>
      <c r="E70" s="59">
        <f>'Pg3 BK-1 TO5 C5_Revised'!E69</f>
        <v>0</v>
      </c>
      <c r="G70" s="59">
        <f>'Pg4 BK-1 TO5 C5_As Filed'!E70</f>
        <v>0</v>
      </c>
      <c r="I70" s="266">
        <f>E70-G70</f>
        <v>0</v>
      </c>
      <c r="J70" s="8" t="s">
        <v>60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6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61</v>
      </c>
      <c r="E72" s="59">
        <f>E150</f>
        <v>0</v>
      </c>
      <c r="G72" s="59">
        <f>G150</f>
        <v>0</v>
      </c>
      <c r="I72" s="266">
        <f>E72-G72</f>
        <v>0</v>
      </c>
      <c r="J72" s="8" t="s">
        <v>62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28</v>
      </c>
      <c r="C73" s="35"/>
      <c r="D73" s="35"/>
      <c r="E73" s="60">
        <f>'Pg3 BK-1 TO5 C5_Revised'!E72</f>
        <v>9.5313892619011159E-2</v>
      </c>
      <c r="F73" s="38"/>
      <c r="G73" s="60">
        <f>'Pg4 BK-1 TO5 C5_As Filed'!E73</f>
        <v>9.5313887943714093E-2</v>
      </c>
      <c r="H73" s="12"/>
      <c r="I73" s="270">
        <f>E73-G73</f>
        <v>4.6752970661589899E-9</v>
      </c>
      <c r="J73" s="8" t="s">
        <v>227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63</v>
      </c>
      <c r="E74" s="15">
        <f>E72*E73</f>
        <v>0</v>
      </c>
      <c r="G74" s="15">
        <f>G72*G73</f>
        <v>0</v>
      </c>
      <c r="I74" s="271">
        <f>E74-G74</f>
        <v>0</v>
      </c>
      <c r="J74" s="8" t="s">
        <v>64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6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61</v>
      </c>
      <c r="E76" s="59">
        <f>E150</f>
        <v>0</v>
      </c>
      <c r="G76" s="59">
        <f>G150</f>
        <v>0</v>
      </c>
      <c r="I76" s="266">
        <f>E76-G76</f>
        <v>0</v>
      </c>
      <c r="J76" s="8" t="s">
        <v>62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32</v>
      </c>
      <c r="C77" s="61"/>
      <c r="D77" s="61"/>
      <c r="E77" s="62">
        <f>'Pg3 BK-1 TO5 C5_Revised'!E76</f>
        <v>0</v>
      </c>
      <c r="F77" s="38"/>
      <c r="G77" s="62">
        <f>'Pg4 BK-1 TO5 C5_As Filed'!E77</f>
        <v>0</v>
      </c>
      <c r="H77" s="27"/>
      <c r="I77" s="270">
        <f>E77-G77</f>
        <v>0</v>
      </c>
      <c r="J77" s="8" t="s">
        <v>65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66</v>
      </c>
      <c r="E78" s="15">
        <f>E76*E77</f>
        <v>0</v>
      </c>
      <c r="G78" s="15">
        <f>G76*G77</f>
        <v>0</v>
      </c>
      <c r="I78" s="266">
        <f>E78-G78</f>
        <v>0</v>
      </c>
      <c r="J78" s="8" t="s">
        <v>67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6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68</v>
      </c>
      <c r="E80" s="17">
        <f>E70+E74+E78</f>
        <v>0</v>
      </c>
      <c r="G80" s="17">
        <f>G70+G74+G78</f>
        <v>0</v>
      </c>
      <c r="I80" s="269">
        <f>E80-G80</f>
        <v>0</v>
      </c>
      <c r="J80" s="8" t="s">
        <v>69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6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422</v>
      </c>
      <c r="C82" s="35"/>
      <c r="D82" s="35"/>
      <c r="E82" s="21"/>
      <c r="F82" s="35"/>
      <c r="G82" s="21"/>
      <c r="I82" s="266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71</v>
      </c>
      <c r="C83" s="35"/>
      <c r="D83" s="35"/>
      <c r="E83" s="56">
        <f>E152</f>
        <v>0</v>
      </c>
      <c r="F83" s="35"/>
      <c r="G83" s="56">
        <f>G152</f>
        <v>0</v>
      </c>
      <c r="I83" s="266">
        <f>E83-G83</f>
        <v>0</v>
      </c>
      <c r="J83" s="8" t="s">
        <v>72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28</v>
      </c>
      <c r="C84" s="35"/>
      <c r="D84" s="35"/>
      <c r="E84" s="63">
        <f>'Pg3 BK-1 TO5 C5_Revised'!E83</f>
        <v>9.5313892619011159E-2</v>
      </c>
      <c r="F84" s="35"/>
      <c r="G84" s="63">
        <f>'Pg4 BK-1 TO5 C5_As Filed'!E84</f>
        <v>9.5313887943714093E-2</v>
      </c>
      <c r="H84" s="12"/>
      <c r="I84" s="270">
        <f>E84-G84</f>
        <v>4.6752970661589899E-9</v>
      </c>
      <c r="J84" s="8" t="s">
        <v>227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73</v>
      </c>
      <c r="C85" s="35"/>
      <c r="D85" s="35"/>
      <c r="E85" s="23">
        <f>E83*E84</f>
        <v>0</v>
      </c>
      <c r="F85" s="35"/>
      <c r="G85" s="23">
        <f>G83*G84</f>
        <v>0</v>
      </c>
      <c r="I85" s="266">
        <f>E85-G85</f>
        <v>0</v>
      </c>
      <c r="J85" s="8" t="s">
        <v>74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6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71</v>
      </c>
      <c r="C87" s="35"/>
      <c r="D87" s="35"/>
      <c r="E87" s="56">
        <f>E152</f>
        <v>0</v>
      </c>
      <c r="F87" s="35"/>
      <c r="G87" s="56">
        <f>G152</f>
        <v>0</v>
      </c>
      <c r="I87" s="266">
        <f>E87-G87</f>
        <v>0</v>
      </c>
      <c r="J87" s="8" t="s">
        <v>72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32</v>
      </c>
      <c r="C88" s="35"/>
      <c r="D88" s="35"/>
      <c r="E88" s="291">
        <f>'Pg3 BK-1 TO5 C5_Revised'!E87</f>
        <v>0</v>
      </c>
      <c r="F88" s="117" t="s">
        <v>16</v>
      </c>
      <c r="G88" s="63">
        <f>'Pg4 BK-1 TO5 C5_As Filed'!E88</f>
        <v>3.9113461135350091E-3</v>
      </c>
      <c r="H88" s="27"/>
      <c r="I88" s="276">
        <f>E88-G88</f>
        <v>-3.9113461135350091E-3</v>
      </c>
      <c r="J88" s="8" t="s">
        <v>428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75</v>
      </c>
      <c r="C89" s="35"/>
      <c r="D89" s="35"/>
      <c r="E89" s="298">
        <f>E87*E88</f>
        <v>0</v>
      </c>
      <c r="F89" s="117" t="s">
        <v>16</v>
      </c>
      <c r="G89" s="23">
        <f>G87*G88</f>
        <v>0</v>
      </c>
      <c r="I89" s="275">
        <f>E89-G89</f>
        <v>0</v>
      </c>
      <c r="J89" s="8" t="s">
        <v>76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6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77</v>
      </c>
      <c r="C91" s="35"/>
      <c r="D91" s="35"/>
      <c r="E91" s="17">
        <f>E85+E89</f>
        <v>0</v>
      </c>
      <c r="F91" s="35"/>
      <c r="G91" s="17">
        <f>G85+G89</f>
        <v>0</v>
      </c>
      <c r="I91" s="272">
        <f>E91-G91</f>
        <v>0</v>
      </c>
      <c r="J91" s="8" t="s">
        <v>78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6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79</v>
      </c>
      <c r="E93" s="24">
        <f>E67+E80+E91</f>
        <v>0</v>
      </c>
      <c r="G93" s="24">
        <f>G67+G80+G91</f>
        <v>0</v>
      </c>
      <c r="I93" s="273">
        <f>E93-G93</f>
        <v>0</v>
      </c>
      <c r="J93" s="8" t="s">
        <v>80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6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81</v>
      </c>
      <c r="C95" s="35"/>
      <c r="D95" s="35"/>
      <c r="E95" s="287">
        <f>+E40+E93</f>
        <v>967704.33216498327</v>
      </c>
      <c r="F95" s="117" t="s">
        <v>16</v>
      </c>
      <c r="G95" s="24">
        <f>+G40+G93</f>
        <v>986760.11356483237</v>
      </c>
      <c r="H95" s="12"/>
      <c r="I95" s="274">
        <f>E95-G95</f>
        <v>-19055.781399849104</v>
      </c>
      <c r="J95" s="8" t="s">
        <v>82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x14ac:dyDescent="0.25">
      <c r="A98" s="12" t="s">
        <v>16</v>
      </c>
      <c r="B98" s="5" t="str">
        <f>B43</f>
        <v>Items in BOLD have changed due to clearing the ROE Adder to zero for the TO6 Cycle 1 filing ER25-270 as compared to the original TO5 Cycle 5 filing ER23-542.</v>
      </c>
      <c r="C98" s="35"/>
      <c r="D98" s="35"/>
      <c r="E98" s="35"/>
      <c r="F98" s="35"/>
      <c r="G98" s="21"/>
      <c r="H98" s="27"/>
      <c r="I98" s="27"/>
      <c r="J98" s="8"/>
    </row>
    <row r="99" spans="1:11" ht="18.75" x14ac:dyDescent="0.25">
      <c r="A99" s="13">
        <v>1</v>
      </c>
      <c r="B99" s="7" t="str">
        <f>B44</f>
        <v>Amounts for TO5 Cycle 5 are as filed in the following dockets: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46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83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84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16" t="s">
        <v>152</v>
      </c>
      <c r="C105" s="315"/>
      <c r="D105" s="315"/>
      <c r="E105" s="315"/>
      <c r="F105" s="315"/>
      <c r="G105" s="315"/>
      <c r="H105" s="315"/>
      <c r="I105" s="315"/>
      <c r="J105" s="315"/>
    </row>
    <row r="106" spans="1:11" x14ac:dyDescent="0.25">
      <c r="A106" s="8"/>
      <c r="B106" s="316" t="s">
        <v>13</v>
      </c>
      <c r="C106" s="315"/>
      <c r="D106" s="315"/>
      <c r="E106" s="315"/>
      <c r="F106" s="315"/>
      <c r="G106" s="315"/>
      <c r="H106" s="315"/>
      <c r="I106" s="315"/>
      <c r="J106" s="315"/>
    </row>
    <row r="107" spans="1:11" ht="17.25" x14ac:dyDescent="0.25">
      <c r="A107" s="8" t="s">
        <v>12</v>
      </c>
      <c r="B107" s="316" t="s">
        <v>153</v>
      </c>
      <c r="C107" s="317"/>
      <c r="D107" s="317"/>
      <c r="E107" s="317"/>
      <c r="F107" s="317"/>
      <c r="G107" s="317"/>
      <c r="H107" s="317"/>
      <c r="I107" s="317"/>
      <c r="J107" s="317"/>
      <c r="K107" s="8" t="s">
        <v>12</v>
      </c>
    </row>
    <row r="108" spans="1:11" x14ac:dyDescent="0.25">
      <c r="A108" s="8"/>
      <c r="B108" s="312" t="str">
        <f>B5</f>
        <v>For the Base Period &amp; True-Up Period Ending December 31, 2021</v>
      </c>
      <c r="C108" s="313"/>
      <c r="D108" s="313"/>
      <c r="E108" s="313"/>
      <c r="F108" s="313"/>
      <c r="G108" s="313"/>
      <c r="H108" s="313"/>
      <c r="I108" s="313"/>
      <c r="J108" s="313"/>
    </row>
    <row r="109" spans="1:11" x14ac:dyDescent="0.25">
      <c r="A109" s="8"/>
      <c r="B109" s="314" t="s">
        <v>1</v>
      </c>
      <c r="C109" s="315"/>
      <c r="D109" s="315"/>
      <c r="E109" s="315"/>
      <c r="F109" s="315"/>
      <c r="G109" s="315"/>
      <c r="H109" s="315"/>
      <c r="I109" s="315"/>
      <c r="J109" s="315"/>
    </row>
    <row r="110" spans="1:11" x14ac:dyDescent="0.25">
      <c r="A110" s="8"/>
      <c r="B110" s="29"/>
      <c r="C110" s="27"/>
      <c r="D110" s="27"/>
      <c r="E110" s="232" t="s">
        <v>406</v>
      </c>
      <c r="F110"/>
      <c r="G110" s="232" t="s">
        <v>407</v>
      </c>
      <c r="H110"/>
      <c r="I110" s="232" t="s">
        <v>408</v>
      </c>
      <c r="J110" s="27"/>
    </row>
    <row r="111" spans="1:11" ht="34.5" x14ac:dyDescent="0.25">
      <c r="A111" s="8" t="s">
        <v>2</v>
      </c>
      <c r="E111" s="233" t="str">
        <f>E8</f>
        <v xml:space="preserve">Revised TO5 Cycle 5 </v>
      </c>
      <c r="F111" s="5"/>
      <c r="G111" s="233" t="s">
        <v>419</v>
      </c>
      <c r="I111" s="234" t="s">
        <v>410</v>
      </c>
      <c r="J111" s="8"/>
      <c r="K111" s="8" t="s">
        <v>2</v>
      </c>
    </row>
    <row r="112" spans="1:11" x14ac:dyDescent="0.25">
      <c r="A112" s="8" t="s">
        <v>6</v>
      </c>
      <c r="B112" s="27" t="s">
        <v>12</v>
      </c>
      <c r="E112" s="235" t="s">
        <v>411</v>
      </c>
      <c r="G112" s="31" t="s">
        <v>4</v>
      </c>
      <c r="I112" s="237" t="s">
        <v>413</v>
      </c>
      <c r="J112" s="32" t="s">
        <v>5</v>
      </c>
      <c r="K112" s="8" t="s">
        <v>6</v>
      </c>
    </row>
    <row r="113" spans="1:11" x14ac:dyDescent="0.25">
      <c r="A113" s="33"/>
      <c r="B113" s="14" t="s">
        <v>157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85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86</v>
      </c>
      <c r="C115" s="65"/>
      <c r="D115" s="65"/>
      <c r="E115" s="245">
        <f>E184</f>
        <v>5547094.6691546161</v>
      </c>
      <c r="F115" s="65"/>
      <c r="G115" s="245">
        <f>G184</f>
        <v>5547094.6691546161</v>
      </c>
      <c r="H115" s="12"/>
      <c r="I115" s="254">
        <f>E115-G115</f>
        <v>0</v>
      </c>
      <c r="J115" s="8" t="s">
        <v>158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87</v>
      </c>
      <c r="C116" s="65"/>
      <c r="D116" s="65"/>
      <c r="E116" s="246">
        <f>E185</f>
        <v>5093</v>
      </c>
      <c r="F116" s="65"/>
      <c r="G116" s="246">
        <f>G185</f>
        <v>5093</v>
      </c>
      <c r="H116" s="12"/>
      <c r="I116" s="255">
        <f>E116-G116</f>
        <v>0</v>
      </c>
      <c r="J116" s="8" t="s">
        <v>159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88</v>
      </c>
      <c r="C117" s="65"/>
      <c r="D117" s="65"/>
      <c r="E117" s="246">
        <f>E186</f>
        <v>59555</v>
      </c>
      <c r="F117" s="65"/>
      <c r="G117" s="246">
        <f>G186</f>
        <v>59555</v>
      </c>
      <c r="H117" s="12"/>
      <c r="I117" s="255">
        <f t="shared" ref="I117:I118" si="7">E117-G117</f>
        <v>0</v>
      </c>
      <c r="J117" s="8" t="s">
        <v>160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89</v>
      </c>
      <c r="C118" s="65"/>
      <c r="D118" s="65"/>
      <c r="E118" s="247">
        <f>E187</f>
        <v>149365</v>
      </c>
      <c r="F118" s="65"/>
      <c r="G118" s="247">
        <f>G187</f>
        <v>149365</v>
      </c>
      <c r="H118" s="12"/>
      <c r="I118" s="256">
        <f t="shared" si="7"/>
        <v>0</v>
      </c>
      <c r="J118" s="8" t="s">
        <v>161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90</v>
      </c>
      <c r="C119" s="8"/>
      <c r="D119" s="8"/>
      <c r="E119" s="238">
        <f>SUM(E115:E118)</f>
        <v>5761107.6691546161</v>
      </c>
      <c r="F119" s="8"/>
      <c r="G119" s="238">
        <f>SUM(G115:G118)</f>
        <v>5761107.6691546161</v>
      </c>
      <c r="H119" s="12"/>
      <c r="I119" s="251">
        <f>SUM(I115:I118)</f>
        <v>0</v>
      </c>
      <c r="J119" s="8" t="s">
        <v>91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36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92</v>
      </c>
      <c r="C121" s="8"/>
      <c r="D121" s="8"/>
      <c r="E121" s="44"/>
      <c r="F121" s="8"/>
      <c r="G121" s="44"/>
      <c r="I121" s="258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162</v>
      </c>
      <c r="C122" s="8"/>
      <c r="D122" s="8"/>
      <c r="E122" s="67">
        <f>'Pg3 BK-1 TO5 C5_Revised'!E120</f>
        <v>0</v>
      </c>
      <c r="F122" s="8"/>
      <c r="G122" s="67">
        <f>'Pg4 BK-1 TO5 C5_As Filed'!E121</f>
        <v>0</v>
      </c>
      <c r="H122" s="43"/>
      <c r="I122" s="258">
        <f>E122-G122</f>
        <v>0</v>
      </c>
      <c r="J122" s="8" t="s">
        <v>93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94</v>
      </c>
      <c r="C123" s="8"/>
      <c r="D123" s="8"/>
      <c r="E123" s="68">
        <f>'Pg3 BK-1 TO5 C5_Revised'!E121</f>
        <v>0</v>
      </c>
      <c r="F123" s="8"/>
      <c r="G123" s="68">
        <f>'Pg4 BK-1 TO5 C5_As Filed'!E122</f>
        <v>0</v>
      </c>
      <c r="I123" s="256">
        <f>E123-G123</f>
        <v>0</v>
      </c>
      <c r="J123" s="8" t="s">
        <v>95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96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59">
        <f>SUM(I122:I123)</f>
        <v>0</v>
      </c>
      <c r="J124" s="8" t="s">
        <v>97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36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98</v>
      </c>
      <c r="E126" s="44"/>
      <c r="G126" s="44"/>
      <c r="I126" s="236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99</v>
      </c>
      <c r="C127" s="8"/>
      <c r="D127" s="8"/>
      <c r="E127" s="248">
        <f>'Pg3 BK-1 TO5 C5_Revised'!E125</f>
        <v>-993518.29794242466</v>
      </c>
      <c r="F127" s="8"/>
      <c r="G127" s="248">
        <f>'Pg4 BK-1 TO5 C5_As Filed'!E126</f>
        <v>-993518.29794242466</v>
      </c>
      <c r="H127" s="12"/>
      <c r="I127" s="258">
        <f t="shared" ref="I127" si="8">E127-G127</f>
        <v>0</v>
      </c>
      <c r="J127" s="8" t="s">
        <v>219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100</v>
      </c>
      <c r="C128" s="8"/>
      <c r="D128" s="8"/>
      <c r="E128" s="53">
        <f>'Pg3 BK-1 TO5 C5_Revised'!E126</f>
        <v>0</v>
      </c>
      <c r="F128" s="8"/>
      <c r="G128" s="53">
        <f>'Pg4 BK-1 TO5 C5_As Filed'!E127</f>
        <v>0</v>
      </c>
      <c r="I128" s="264">
        <f>E128-G128</f>
        <v>0</v>
      </c>
      <c r="J128" s="8" t="s">
        <v>101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102</v>
      </c>
      <c r="C129" s="8"/>
      <c r="D129" s="8"/>
      <c r="E129" s="238">
        <f>SUM(E127:E128)</f>
        <v>-993518.29794242466</v>
      </c>
      <c r="F129" s="8"/>
      <c r="G129" s="238">
        <f>SUM(G127:G128)</f>
        <v>-993518.29794242466</v>
      </c>
      <c r="H129" s="12"/>
      <c r="I129" s="258">
        <f>SUM(I127:I128)</f>
        <v>0</v>
      </c>
      <c r="J129" s="8" t="s">
        <v>103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58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104</v>
      </c>
      <c r="C131" s="8"/>
      <c r="D131" s="8"/>
      <c r="E131" s="70"/>
      <c r="F131" s="8"/>
      <c r="G131" s="70"/>
      <c r="I131" s="236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163</v>
      </c>
      <c r="C132" s="8"/>
      <c r="D132" s="8"/>
      <c r="E132" s="245">
        <f>'Pg3 BK-1 TO5 C5_Revised'!E130</f>
        <v>48571.669458538468</v>
      </c>
      <c r="F132" s="8"/>
      <c r="G132" s="245">
        <f>'Pg4 BK-1 TO5 C5_As Filed'!E131</f>
        <v>48571.669458538468</v>
      </c>
      <c r="H132" s="12"/>
      <c r="I132" s="260">
        <f t="shared" ref="I132:I134" si="9">E132-G132</f>
        <v>0</v>
      </c>
      <c r="J132" s="8" t="s">
        <v>228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105</v>
      </c>
      <c r="C133" s="8"/>
      <c r="D133" s="8"/>
      <c r="E133" s="246">
        <f>'Pg3 BK-1 TO5 C5_Revised'!E131</f>
        <v>41902.961994846148</v>
      </c>
      <c r="F133" s="8"/>
      <c r="G133" s="246">
        <f>'Pg4 BK-1 TO5 C5_As Filed'!E132</f>
        <v>41902.961994846148</v>
      </c>
      <c r="H133" s="12"/>
      <c r="I133" s="255">
        <f t="shared" si="9"/>
        <v>0</v>
      </c>
      <c r="J133" s="8" t="s">
        <v>229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106</v>
      </c>
      <c r="C134" s="8"/>
      <c r="D134" s="8"/>
      <c r="E134" s="247">
        <f>'Pg3 BK-1 TO5 C5_Revised'!E132</f>
        <v>24887.543158749999</v>
      </c>
      <c r="F134" s="8"/>
      <c r="G134" s="247">
        <f>'Pg4 BK-1 TO5 C5_As Filed'!E133</f>
        <v>24887.543158749999</v>
      </c>
      <c r="H134" s="12"/>
      <c r="I134" s="256">
        <f t="shared" si="9"/>
        <v>0</v>
      </c>
      <c r="J134" s="8" t="s">
        <v>230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164</v>
      </c>
      <c r="E135" s="238">
        <f>SUM(E132:E134)</f>
        <v>115362.17461213461</v>
      </c>
      <c r="G135" s="238">
        <f>SUM(G132:G134)</f>
        <v>115362.17461213461</v>
      </c>
      <c r="H135" s="12"/>
      <c r="I135" s="251">
        <f>SUM(I132:I134)</f>
        <v>0</v>
      </c>
      <c r="J135" s="8" t="s">
        <v>107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51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108</v>
      </c>
      <c r="E137" s="72">
        <f>'Pg3 BK-1 TO5 C5_Revised'!E135</f>
        <v>0</v>
      </c>
      <c r="G137" s="72">
        <f>'Pg4 BK-1 TO5 C5_As Filed'!E136</f>
        <v>0</v>
      </c>
      <c r="I137" s="261">
        <f>E137-G137</f>
        <v>0</v>
      </c>
      <c r="J137" s="8" t="s">
        <v>109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110</v>
      </c>
      <c r="E138" s="58">
        <f>'Pg3 BK-1 TO5 C5_Revised'!E136</f>
        <v>-11021.620822994773</v>
      </c>
      <c r="G138" s="58">
        <f>'Pg4 BK-1 TO5 C5_As Filed'!E137</f>
        <v>-11021.620822994773</v>
      </c>
      <c r="H138" s="12"/>
      <c r="I138" s="262">
        <f>E138-G138</f>
        <v>0</v>
      </c>
      <c r="J138" s="8" t="s">
        <v>111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36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112</v>
      </c>
      <c r="E140" s="249">
        <f>E137+E135+E129+E124+E119+E138</f>
        <v>4871929.9250013307</v>
      </c>
      <c r="G140" s="249">
        <f>G137+G135+G129+G124+G119+G138</f>
        <v>4871929.9250013307</v>
      </c>
      <c r="H140" s="12"/>
      <c r="I140" s="265">
        <f>E140-G140</f>
        <v>0</v>
      </c>
      <c r="J140" s="8" t="s">
        <v>113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51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423</v>
      </c>
      <c r="E142" s="18"/>
      <c r="G142" s="18"/>
      <c r="I142" s="251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115</v>
      </c>
      <c r="E143" s="59">
        <f>E193</f>
        <v>0</v>
      </c>
      <c r="G143" s="59">
        <f>G193</f>
        <v>0</v>
      </c>
      <c r="I143" s="251">
        <f>E143-G143</f>
        <v>0</v>
      </c>
      <c r="J143" s="8" t="s">
        <v>116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117</v>
      </c>
      <c r="E144" s="53">
        <f>'Pg3 BK-1 TO5 C5_Revised'!E142</f>
        <v>0</v>
      </c>
      <c r="G144" s="53">
        <f>'Pg4 BK-1 TO5 C5_As Filed'!E143</f>
        <v>0</v>
      </c>
      <c r="I144" s="263">
        <f>E144-G144</f>
        <v>0</v>
      </c>
      <c r="J144" s="8" t="s">
        <v>118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119</v>
      </c>
      <c r="E145" s="15">
        <f>SUM(E143:E144)</f>
        <v>0</v>
      </c>
      <c r="G145" s="15">
        <f>SUM(G143:G144)</f>
        <v>0</v>
      </c>
      <c r="I145" s="251">
        <f>SUM(I143:I144)</f>
        <v>0</v>
      </c>
      <c r="J145" s="8" t="s">
        <v>120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51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424</v>
      </c>
      <c r="E147" s="18"/>
      <c r="G147" s="18"/>
      <c r="I147" s="251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122</v>
      </c>
      <c r="E148" s="59">
        <f>'Pg3 BK-1 TO5 C5_Revised'!E146</f>
        <v>0</v>
      </c>
      <c r="G148" s="59">
        <f>'Pg4 BK-1 TO5 C5_As Filed'!E147</f>
        <v>0</v>
      </c>
      <c r="I148" s="251">
        <f>E148-G148</f>
        <v>0</v>
      </c>
      <c r="J148" s="8" t="s">
        <v>123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124</v>
      </c>
      <c r="E149" s="54">
        <f>'Pg3 BK-1 TO5 C5_Revised'!E147</f>
        <v>0</v>
      </c>
      <c r="G149" s="54">
        <f>'Pg4 BK-1 TO5 C5_As Filed'!E148</f>
        <v>0</v>
      </c>
      <c r="I149" s="263">
        <f>E149-G149</f>
        <v>0</v>
      </c>
      <c r="J149" s="8" t="s">
        <v>125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126</v>
      </c>
      <c r="E150" s="15">
        <f>SUM(E148:E149)</f>
        <v>0</v>
      </c>
      <c r="G150" s="15">
        <f>SUM(G148:G149)</f>
        <v>0</v>
      </c>
      <c r="I150" s="251">
        <f>SUM(I148:I149)</f>
        <v>0</v>
      </c>
      <c r="J150" s="8" t="s">
        <v>127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51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425</v>
      </c>
      <c r="E152" s="59">
        <f>'Pg3 BK-1 TO5 C5_Revised'!E150</f>
        <v>0</v>
      </c>
      <c r="G152" s="59">
        <f>'Pg4 BK-1 TO5 C5_As Filed'!E151</f>
        <v>0</v>
      </c>
      <c r="I152" s="251">
        <f>E152-G152</f>
        <v>0</v>
      </c>
      <c r="J152" s="8" t="s">
        <v>129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x14ac:dyDescent="0.25">
      <c r="A155" s="12"/>
      <c r="B155" s="161"/>
      <c r="G155" s="18"/>
      <c r="J155" s="8"/>
    </row>
    <row r="156" spans="1:11" ht="18.75" x14ac:dyDescent="0.25">
      <c r="A156" s="13">
        <v>1</v>
      </c>
      <c r="B156" s="7" t="str">
        <f>B44</f>
        <v>Amounts for TO5 Cycle 5 are as filed in the following dockets: ER23-542, ER24-524, and ER25-270.</v>
      </c>
      <c r="G156" s="18"/>
      <c r="J156" s="8"/>
    </row>
    <row r="157" spans="1:11" ht="18.75" x14ac:dyDescent="0.25">
      <c r="A157" s="13">
        <v>2</v>
      </c>
      <c r="B157" s="7" t="s">
        <v>83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16" t="s">
        <v>152</v>
      </c>
      <c r="C160" s="315"/>
      <c r="D160" s="315"/>
      <c r="E160" s="315"/>
      <c r="F160" s="315"/>
      <c r="G160" s="315"/>
      <c r="H160" s="315"/>
      <c r="I160" s="315"/>
      <c r="J160" s="315"/>
    </row>
    <row r="161" spans="1:13" x14ac:dyDescent="0.25">
      <c r="A161" s="8" t="s">
        <v>12</v>
      </c>
      <c r="B161" s="316" t="s">
        <v>13</v>
      </c>
      <c r="C161" s="315"/>
      <c r="D161" s="315"/>
      <c r="E161" s="315"/>
      <c r="F161" s="315"/>
      <c r="G161" s="315"/>
      <c r="H161" s="315"/>
      <c r="I161" s="315"/>
      <c r="J161" s="315"/>
    </row>
    <row r="162" spans="1:13" ht="17.25" x14ac:dyDescent="0.25">
      <c r="A162" s="8"/>
      <c r="B162" s="316" t="s">
        <v>153</v>
      </c>
      <c r="C162" s="317"/>
      <c r="D162" s="317"/>
      <c r="E162" s="317"/>
      <c r="F162" s="317"/>
      <c r="G162" s="317"/>
      <c r="H162" s="317"/>
      <c r="I162" s="317"/>
      <c r="J162" s="317"/>
    </row>
    <row r="163" spans="1:13" x14ac:dyDescent="0.25">
      <c r="A163" s="8"/>
      <c r="B163" s="312" t="str">
        <f>B5</f>
        <v>For the Base Period &amp; True-Up Period Ending December 31, 2021</v>
      </c>
      <c r="C163" s="313"/>
      <c r="D163" s="313"/>
      <c r="E163" s="313"/>
      <c r="F163" s="313"/>
      <c r="G163" s="313"/>
      <c r="H163" s="313"/>
      <c r="I163" s="313"/>
      <c r="J163" s="313"/>
    </row>
    <row r="164" spans="1:13" x14ac:dyDescent="0.25">
      <c r="A164" s="8"/>
      <c r="B164" s="314" t="s">
        <v>1</v>
      </c>
      <c r="C164" s="315"/>
      <c r="D164" s="315"/>
      <c r="E164" s="315"/>
      <c r="F164" s="315"/>
      <c r="G164" s="315"/>
      <c r="H164" s="315"/>
      <c r="I164" s="315"/>
      <c r="J164" s="315"/>
    </row>
    <row r="165" spans="1:13" x14ac:dyDescent="0.25">
      <c r="A165" s="8"/>
      <c r="B165" s="73"/>
      <c r="E165" s="232" t="s">
        <v>406</v>
      </c>
      <c r="F165"/>
      <c r="G165" s="232" t="s">
        <v>407</v>
      </c>
      <c r="H165"/>
      <c r="I165" s="232" t="s">
        <v>408</v>
      </c>
    </row>
    <row r="166" spans="1:13" ht="34.5" x14ac:dyDescent="0.25">
      <c r="A166" s="8" t="s">
        <v>2</v>
      </c>
      <c r="E166" s="233" t="str">
        <f>E8</f>
        <v xml:space="preserve">Revised TO5 Cycle 5 </v>
      </c>
      <c r="F166" s="5"/>
      <c r="G166" s="233" t="s">
        <v>419</v>
      </c>
      <c r="I166" s="234" t="s">
        <v>410</v>
      </c>
      <c r="J166" s="8"/>
      <c r="K166" s="8" t="s">
        <v>2</v>
      </c>
    </row>
    <row r="167" spans="1:13" x14ac:dyDescent="0.25">
      <c r="A167" s="8" t="s">
        <v>6</v>
      </c>
      <c r="B167" s="27" t="s">
        <v>12</v>
      </c>
      <c r="E167" s="235" t="s">
        <v>411</v>
      </c>
      <c r="G167" s="31" t="s">
        <v>4</v>
      </c>
      <c r="I167" s="237" t="s">
        <v>413</v>
      </c>
      <c r="J167" s="32" t="s">
        <v>5</v>
      </c>
      <c r="K167" s="8" t="s">
        <v>6</v>
      </c>
    </row>
    <row r="168" spans="1:13" x14ac:dyDescent="0.25">
      <c r="A168" s="33"/>
      <c r="B168" s="14" t="s">
        <v>165</v>
      </c>
      <c r="G168" s="30"/>
      <c r="J168" s="8"/>
      <c r="K168" s="33"/>
    </row>
    <row r="169" spans="1:13" x14ac:dyDescent="0.25">
      <c r="A169" s="8">
        <v>1</v>
      </c>
      <c r="B169" s="66" t="s">
        <v>130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86</v>
      </c>
      <c r="E170" s="51">
        <f>'Pg3 BK-1 TO5 C5_Revised'!E167</f>
        <v>7091163.5102730775</v>
      </c>
      <c r="G170" s="51">
        <f>'Pg4 BK-1 TO5 C5_As Filed'!E168</f>
        <v>7091163.5102730775</v>
      </c>
      <c r="H170" s="12"/>
      <c r="I170" s="254">
        <f>E170-G170</f>
        <v>0</v>
      </c>
      <c r="J170" s="8" t="s">
        <v>213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166</v>
      </c>
      <c r="E171" s="75">
        <f>'Pg3 BK-1 TO5 C5_Revised'!E168</f>
        <v>38763</v>
      </c>
      <c r="G171" s="75">
        <f>'Pg4 BK-1 TO5 C5_As Filed'!E169</f>
        <v>38763</v>
      </c>
      <c r="H171" s="12"/>
      <c r="I171" s="255">
        <f>E171-G171</f>
        <v>0</v>
      </c>
      <c r="J171" s="8" t="s">
        <v>214</v>
      </c>
      <c r="K171" s="8">
        <f t="shared" si="11"/>
        <v>3</v>
      </c>
      <c r="L171" s="76"/>
    </row>
    <row r="172" spans="1:13" x14ac:dyDescent="0.25">
      <c r="A172" s="8">
        <f t="shared" si="10"/>
        <v>4</v>
      </c>
      <c r="B172" s="10" t="s">
        <v>88</v>
      </c>
      <c r="E172" s="75">
        <f>'Pg3 BK-1 TO5 C5_Revised'!E169</f>
        <v>101746</v>
      </c>
      <c r="G172" s="75">
        <f>'Pg4 BK-1 TO5 C5_As Filed'!E170</f>
        <v>101746</v>
      </c>
      <c r="H172" s="12"/>
      <c r="I172" s="255">
        <f t="shared" ref="I172:I173" si="12">E172-G172</f>
        <v>0</v>
      </c>
      <c r="J172" s="8" t="s">
        <v>211</v>
      </c>
      <c r="K172" s="8">
        <f t="shared" si="11"/>
        <v>4</v>
      </c>
      <c r="M172" s="77"/>
    </row>
    <row r="173" spans="1:13" x14ac:dyDescent="0.25">
      <c r="A173" s="8">
        <f t="shared" si="10"/>
        <v>5</v>
      </c>
      <c r="B173" s="10" t="s">
        <v>89</v>
      </c>
      <c r="C173" s="8"/>
      <c r="D173" s="8"/>
      <c r="E173" s="47">
        <f>'Pg3 BK-1 TO5 C5_Revised'!E170</f>
        <v>276201</v>
      </c>
      <c r="F173" s="8"/>
      <c r="G173" s="47">
        <f>'Pg4 BK-1 TO5 C5_As Filed'!E171</f>
        <v>276201</v>
      </c>
      <c r="H173" s="12"/>
      <c r="I173" s="256">
        <f t="shared" si="12"/>
        <v>0</v>
      </c>
      <c r="J173" s="8" t="s">
        <v>212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131</v>
      </c>
      <c r="E174" s="238">
        <f>SUM(E170:E173)</f>
        <v>7507873.5102730775</v>
      </c>
      <c r="G174" s="238">
        <f>SUM(G170:G173)</f>
        <v>7507873.5102730775</v>
      </c>
      <c r="H174" s="12"/>
      <c r="I174" s="251">
        <f>SUM(I170:I173)</f>
        <v>0</v>
      </c>
      <c r="J174" s="8" t="s">
        <v>91</v>
      </c>
      <c r="K174" s="8">
        <f t="shared" si="11"/>
        <v>6</v>
      </c>
      <c r="L174" s="76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36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132</v>
      </c>
      <c r="E176" s="30"/>
      <c r="G176" s="30"/>
      <c r="I176" s="236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133</v>
      </c>
      <c r="E177" s="51">
        <f>'Pg3 BK-1 TO5 C5_Revised'!E174</f>
        <v>1544068.8411184615</v>
      </c>
      <c r="G177" s="51">
        <f>'Pg4 BK-1 TO5 C5_As Filed'!E175</f>
        <v>1544068.8411184615</v>
      </c>
      <c r="H177" s="12"/>
      <c r="I177" s="254">
        <f>E177-G177</f>
        <v>0</v>
      </c>
      <c r="J177" s="8" t="s">
        <v>215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134</v>
      </c>
      <c r="E178" s="75">
        <f>'Pg3 BK-1 TO5 C5_Revised'!E175</f>
        <v>33670</v>
      </c>
      <c r="G178" s="75">
        <f>'Pg4 BK-1 TO5 C5_As Filed'!E176</f>
        <v>33670</v>
      </c>
      <c r="H178" s="43"/>
      <c r="I178" s="255">
        <f t="shared" ref="I178:I180" si="13">E178-G178</f>
        <v>0</v>
      </c>
      <c r="J178" s="8" t="s">
        <v>216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135</v>
      </c>
      <c r="E179" s="75">
        <f>'Pg3 BK-1 TO5 C5_Revised'!E176</f>
        <v>42191</v>
      </c>
      <c r="G179" s="75">
        <f>'Pg4 BK-1 TO5 C5_As Filed'!E177</f>
        <v>42191</v>
      </c>
      <c r="H179" s="12"/>
      <c r="I179" s="255">
        <f t="shared" si="13"/>
        <v>0</v>
      </c>
      <c r="J179" s="8" t="s">
        <v>217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136</v>
      </c>
      <c r="E180" s="47">
        <f>'Pg3 BK-1 TO5 C5_Revised'!E177</f>
        <v>126836</v>
      </c>
      <c r="G180" s="47">
        <f>'Pg4 BK-1 TO5 C5_As Filed'!E178</f>
        <v>126836</v>
      </c>
      <c r="H180" s="12"/>
      <c r="I180" s="256">
        <f t="shared" si="13"/>
        <v>0</v>
      </c>
      <c r="J180" s="8" t="s">
        <v>218</v>
      </c>
      <c r="K180" s="8">
        <f t="shared" si="11"/>
        <v>12</v>
      </c>
    </row>
    <row r="181" spans="1:11" x14ac:dyDescent="0.25">
      <c r="A181" s="8">
        <f t="shared" si="10"/>
        <v>13</v>
      </c>
      <c r="B181" s="76" t="s">
        <v>137</v>
      </c>
      <c r="C181" s="76"/>
      <c r="D181" s="76"/>
      <c r="E181" s="239">
        <f>SUM(E177:E180)</f>
        <v>1746765.8411184615</v>
      </c>
      <c r="F181" s="76"/>
      <c r="G181" s="239">
        <f>SUM(G177:G180)</f>
        <v>1746765.8411184615</v>
      </c>
      <c r="H181" s="12"/>
      <c r="I181" s="257">
        <f>SUM(I177:I180)</f>
        <v>0</v>
      </c>
      <c r="J181" s="8" t="s">
        <v>138</v>
      </c>
      <c r="K181" s="8">
        <f t="shared" si="11"/>
        <v>13</v>
      </c>
    </row>
    <row r="182" spans="1:11" x14ac:dyDescent="0.25">
      <c r="A182" s="8">
        <f t="shared" si="10"/>
        <v>14</v>
      </c>
      <c r="B182" s="76"/>
      <c r="C182" s="76"/>
      <c r="D182" s="76"/>
      <c r="E182" s="70"/>
      <c r="F182" s="76"/>
      <c r="G182" s="70"/>
      <c r="I182" s="236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85</v>
      </c>
      <c r="C183" s="76"/>
      <c r="D183" s="76"/>
      <c r="E183" s="70"/>
      <c r="F183" s="76"/>
      <c r="G183" s="70"/>
      <c r="I183" s="236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86</v>
      </c>
      <c r="E184" s="18">
        <f>+E170-E177</f>
        <v>5547094.6691546161</v>
      </c>
      <c r="G184" s="18">
        <f>+G170-G177</f>
        <v>5547094.6691546161</v>
      </c>
      <c r="H184" s="12"/>
      <c r="I184" s="254">
        <f>E184-G184</f>
        <v>0</v>
      </c>
      <c r="J184" s="8" t="s">
        <v>139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87</v>
      </c>
      <c r="E185" s="46">
        <f>+E171-E178</f>
        <v>5093</v>
      </c>
      <c r="G185" s="46">
        <f>+G171-G178</f>
        <v>5093</v>
      </c>
      <c r="H185" s="12"/>
      <c r="I185" s="255">
        <f t="shared" ref="I185:I187" si="14">E185-G185</f>
        <v>0</v>
      </c>
      <c r="J185" s="8" t="s">
        <v>140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88</v>
      </c>
      <c r="E186" s="46">
        <f>+E172-E179</f>
        <v>59555</v>
      </c>
      <c r="G186" s="46">
        <f>+G172-G179</f>
        <v>59555</v>
      </c>
      <c r="H186" s="12"/>
      <c r="I186" s="255">
        <f t="shared" si="14"/>
        <v>0</v>
      </c>
      <c r="J186" s="8" t="s">
        <v>141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89</v>
      </c>
      <c r="E187" s="240">
        <f>+E173-E180</f>
        <v>149365</v>
      </c>
      <c r="G187" s="240">
        <f>+G173-G180</f>
        <v>149365</v>
      </c>
      <c r="H187" s="12"/>
      <c r="I187" s="255">
        <f t="shared" si="14"/>
        <v>0</v>
      </c>
      <c r="J187" s="8" t="s">
        <v>142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90</v>
      </c>
      <c r="E188" s="241">
        <f>SUM(E184:E187)</f>
        <v>5761107.6691546161</v>
      </c>
      <c r="G188" s="241">
        <f>SUM(G184:G187)</f>
        <v>5761107.6691546161</v>
      </c>
      <c r="H188" s="12"/>
      <c r="I188" s="253">
        <f>SUM(I184:I187)</f>
        <v>0</v>
      </c>
      <c r="J188" s="8" t="s">
        <v>143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51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426</v>
      </c>
      <c r="E190" s="18"/>
      <c r="G190" s="18"/>
      <c r="I190" s="251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145</v>
      </c>
      <c r="E191" s="59">
        <f>'Pg3 BK-1 TO5 C5_Revised'!E188</f>
        <v>0</v>
      </c>
      <c r="G191" s="59">
        <f>'Pg4 BK-1 TO5 C5_As Filed'!E189</f>
        <v>0</v>
      </c>
      <c r="I191" s="251">
        <f>E191-G191</f>
        <v>0</v>
      </c>
      <c r="J191" s="8" t="s">
        <v>146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147</v>
      </c>
      <c r="E192" s="54">
        <f>'Pg3 BK-1 TO5 C5_Revised'!E189</f>
        <v>0</v>
      </c>
      <c r="G192" s="54">
        <f>'Pg4 BK-1 TO5 C5_As Filed'!E190</f>
        <v>0</v>
      </c>
      <c r="I192" s="252">
        <f>E192-G192</f>
        <v>0</v>
      </c>
      <c r="J192" s="8" t="s">
        <v>148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149</v>
      </c>
      <c r="E193" s="78">
        <f>E191-E192</f>
        <v>0</v>
      </c>
      <c r="G193" s="78">
        <f>G191-G192</f>
        <v>0</v>
      </c>
      <c r="I193" s="253">
        <f>E193-G193</f>
        <v>0</v>
      </c>
      <c r="J193" s="8" t="s">
        <v>150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6"/>
      <c r="J195" s="8"/>
    </row>
    <row r="196" spans="1:11" x14ac:dyDescent="0.25">
      <c r="A196" s="12"/>
      <c r="B196" s="161"/>
      <c r="G196" s="18"/>
      <c r="J196" s="8"/>
    </row>
    <row r="197" spans="1:11" ht="18.75" x14ac:dyDescent="0.25">
      <c r="A197" s="13">
        <v>1</v>
      </c>
      <c r="B197" s="7" t="str">
        <f>B44</f>
        <v>Amounts for TO5 Cycle 5 are as filed in the following dockets: ER23-542, ER24-524, and ER25-270.</v>
      </c>
      <c r="G197" s="18"/>
      <c r="J197" s="8"/>
    </row>
    <row r="198" spans="1:11" ht="18.75" x14ac:dyDescent="0.25">
      <c r="A198" s="13">
        <v>2</v>
      </c>
      <c r="B198" s="7" t="s">
        <v>151</v>
      </c>
      <c r="G198" s="18"/>
      <c r="J198" s="8"/>
    </row>
    <row r="200" spans="1:11" x14ac:dyDescent="0.25">
      <c r="G200" s="79"/>
    </row>
  </sheetData>
  <mergeCells count="20">
    <mergeCell ref="B48:J48"/>
    <mergeCell ref="B2:J2"/>
    <mergeCell ref="B3:J3"/>
    <mergeCell ref="B4:J4"/>
    <mergeCell ref="B5:J5"/>
    <mergeCell ref="B6:J6"/>
    <mergeCell ref="B163:J163"/>
    <mergeCell ref="B164:J164"/>
    <mergeCell ref="B162:J162"/>
    <mergeCell ref="B49:J49"/>
    <mergeCell ref="B50:J50"/>
    <mergeCell ref="B51:J51"/>
    <mergeCell ref="B52:J52"/>
    <mergeCell ref="B105:J105"/>
    <mergeCell ref="B106:J106"/>
    <mergeCell ref="B107:J107"/>
    <mergeCell ref="B108:J108"/>
    <mergeCell ref="B109:J109"/>
    <mergeCell ref="B160:J160"/>
    <mergeCell ref="B161:J161"/>
  </mergeCells>
  <printOptions horizontalCentered="1"/>
  <pageMargins left="0.25" right="0.25" top="0.5" bottom="0.5" header="0.35" footer="0.25"/>
  <pageSetup scale="46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A403-DD9D-409B-8FCC-5BFD12BF4DFF}">
  <dimension ref="A1:J195"/>
  <sheetViews>
    <sheetView view="pageBreakPreview" zoomScale="60" zoomScaleNormal="80" workbookViewId="0">
      <selection activeCell="B26" sqref="B26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16" t="s">
        <v>152</v>
      </c>
      <c r="C2" s="315"/>
      <c r="D2" s="315"/>
      <c r="E2" s="315"/>
      <c r="F2" s="315"/>
      <c r="G2" s="315"/>
    </row>
    <row r="3" spans="1:10" x14ac:dyDescent="0.25">
      <c r="A3" s="8" t="s">
        <v>12</v>
      </c>
      <c r="B3" s="316" t="s">
        <v>13</v>
      </c>
      <c r="C3" s="315"/>
      <c r="D3" s="315"/>
      <c r="E3" s="315"/>
      <c r="F3" s="315"/>
      <c r="G3" s="315"/>
    </row>
    <row r="4" spans="1:10" ht="17.25" x14ac:dyDescent="0.25">
      <c r="A4" s="8"/>
      <c r="B4" s="316" t="s">
        <v>153</v>
      </c>
      <c r="C4" s="317"/>
      <c r="D4" s="317"/>
      <c r="E4" s="317"/>
      <c r="F4" s="317"/>
      <c r="G4" s="317"/>
    </row>
    <row r="5" spans="1:10" x14ac:dyDescent="0.25">
      <c r="A5" s="8"/>
      <c r="B5" s="318" t="s">
        <v>210</v>
      </c>
      <c r="C5" s="318"/>
      <c r="D5" s="318"/>
      <c r="E5" s="318"/>
      <c r="F5" s="318"/>
      <c r="G5" s="318"/>
    </row>
    <row r="6" spans="1:10" x14ac:dyDescent="0.25">
      <c r="A6" s="8"/>
      <c r="B6" s="314" t="s">
        <v>1</v>
      </c>
      <c r="C6" s="315"/>
      <c r="D6" s="315"/>
      <c r="E6" s="315"/>
      <c r="F6" s="315"/>
      <c r="G6" s="315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2</v>
      </c>
      <c r="E8" s="30"/>
      <c r="G8" s="8"/>
      <c r="H8" s="8" t="s">
        <v>2</v>
      </c>
    </row>
    <row r="9" spans="1:10" ht="15.75" customHeight="1" x14ac:dyDescent="0.25">
      <c r="A9" s="32" t="s">
        <v>6</v>
      </c>
      <c r="B9" s="27" t="s">
        <v>12</v>
      </c>
      <c r="E9" s="31" t="s">
        <v>4</v>
      </c>
      <c r="G9" s="32" t="s">
        <v>5</v>
      </c>
      <c r="H9" s="32" t="s">
        <v>6</v>
      </c>
    </row>
    <row r="10" spans="1:10" x14ac:dyDescent="0.25">
      <c r="A10" s="33"/>
      <c r="B10" s="14" t="s">
        <v>14</v>
      </c>
      <c r="E10" s="34"/>
      <c r="G10" s="8"/>
      <c r="H10" s="33"/>
    </row>
    <row r="11" spans="1:10" x14ac:dyDescent="0.25">
      <c r="A11" s="8">
        <v>1</v>
      </c>
      <c r="B11" s="10" t="s">
        <v>15</v>
      </c>
      <c r="C11" s="35"/>
      <c r="D11" s="35"/>
      <c r="E11" s="116">
        <v>100282.34526999999</v>
      </c>
      <c r="F11" s="12"/>
      <c r="G11" s="8" t="s">
        <v>154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17</v>
      </c>
      <c r="C13" s="35"/>
      <c r="D13" s="35"/>
      <c r="E13" s="242">
        <v>98818</v>
      </c>
      <c r="F13" s="12"/>
      <c r="G13" s="8" t="s">
        <v>415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18</v>
      </c>
      <c r="C15" s="35"/>
      <c r="D15" s="35"/>
      <c r="E15" s="40">
        <v>0</v>
      </c>
      <c r="G15" s="8" t="s">
        <v>207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12"/>
      <c r="G16" s="8" t="s">
        <v>20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21</v>
      </c>
      <c r="C18" s="35"/>
      <c r="D18" s="35"/>
      <c r="E18" s="243">
        <v>241672.36250622445</v>
      </c>
      <c r="F18" s="12"/>
      <c r="G18" s="8" t="s">
        <v>221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12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22</v>
      </c>
      <c r="E20" s="45">
        <v>0</v>
      </c>
      <c r="G20" s="8" t="s">
        <v>155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23</v>
      </c>
      <c r="C22" s="35"/>
      <c r="D22" s="35"/>
      <c r="E22" s="244">
        <v>63645.008378442893</v>
      </c>
      <c r="F22" s="12"/>
      <c r="G22" s="8" t="s">
        <v>222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24</v>
      </c>
      <c r="C24" s="35"/>
      <c r="D24" s="35"/>
      <c r="E24" s="47">
        <v>3394.3201018580767</v>
      </c>
      <c r="F24" s="27"/>
      <c r="G24" s="8" t="s">
        <v>25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26</v>
      </c>
      <c r="C25" s="35"/>
      <c r="D25" s="35"/>
      <c r="E25" s="18">
        <f>SUM(E16+E18+E20+E22+E24)</f>
        <v>507812.03625652543</v>
      </c>
      <c r="F25" s="12"/>
      <c r="G25" s="8" t="s">
        <v>27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28</v>
      </c>
      <c r="C27" s="35"/>
      <c r="D27" s="35"/>
      <c r="E27" s="49">
        <f>'Pg5 Rev Stmt AV'!G149</f>
        <v>9.5313892619011159E-2</v>
      </c>
      <c r="F27" s="12"/>
      <c r="G27" s="8" t="s">
        <v>223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29</v>
      </c>
      <c r="C28" s="35"/>
      <c r="D28" s="35"/>
      <c r="E28" s="58">
        <f>E138</f>
        <v>4871929.9250013307</v>
      </c>
      <c r="F28" s="12"/>
      <c r="G28" s="8" t="s">
        <v>156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30</v>
      </c>
      <c r="C29" s="35"/>
      <c r="D29" s="35"/>
      <c r="E29" s="238">
        <f>E28*E27</f>
        <v>464362.60571892391</v>
      </c>
      <c r="F29" s="12"/>
      <c r="G29" s="8" t="s">
        <v>31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32</v>
      </c>
      <c r="C31" s="35"/>
      <c r="D31" s="38"/>
      <c r="E31" s="290">
        <f>'Pg5 Rev Stmt AV'!G183</f>
        <v>0</v>
      </c>
      <c r="F31" s="12" t="s">
        <v>16</v>
      </c>
      <c r="G31" s="8" t="s">
        <v>427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29</v>
      </c>
      <c r="C32" s="35"/>
      <c r="D32" s="35"/>
      <c r="E32" s="58">
        <f>E138-E121</f>
        <v>4871929.9250013307</v>
      </c>
      <c r="F32" s="12"/>
      <c r="G32" s="8" t="s">
        <v>33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34</v>
      </c>
      <c r="E33" s="286">
        <f>E32*E31</f>
        <v>0</v>
      </c>
      <c r="F33" s="12" t="s">
        <v>16</v>
      </c>
      <c r="G33" s="8" t="s">
        <v>35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36</v>
      </c>
      <c r="E35" s="51">
        <v>1304.0991895338727</v>
      </c>
      <c r="G35" s="8" t="s">
        <v>37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38</v>
      </c>
      <c r="E36" s="52">
        <v>-5774.4090000000006</v>
      </c>
      <c r="F36" s="12"/>
      <c r="G36" s="8" t="s">
        <v>39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40</v>
      </c>
      <c r="E37" s="53">
        <v>0</v>
      </c>
      <c r="G37" s="8" t="s">
        <v>41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42</v>
      </c>
      <c r="E38" s="54">
        <v>0</v>
      </c>
      <c r="G38" s="8" t="s">
        <v>43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12</v>
      </c>
      <c r="G39" s="8"/>
      <c r="H39" s="8">
        <f t="shared" si="1"/>
        <v>29</v>
      </c>
      <c r="I39" s="36"/>
    </row>
    <row r="40" spans="1:9" ht="19.5" thickBot="1" x14ac:dyDescent="0.3">
      <c r="A40" s="8">
        <f t="shared" si="0"/>
        <v>30</v>
      </c>
      <c r="B40" s="7" t="s">
        <v>44</v>
      </c>
      <c r="C40" s="35"/>
      <c r="D40" s="35"/>
      <c r="E40" s="287">
        <f>E29+E33+E25+SUM(E35:E38)</f>
        <v>967704.33216498327</v>
      </c>
      <c r="F40" s="117" t="s">
        <v>16</v>
      </c>
      <c r="G40" s="25" t="s">
        <v>45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12" t="s">
        <v>16</v>
      </c>
      <c r="B43" s="5" t="str">
        <f>'Pg2 BK-1 Comparison TO5 C5 '!B43</f>
        <v>Items in BOLD have changed due to clearing the ROE Adder to zero for the TO6 Cycle 1 filing ER25-270 as compared to the original TO5 Cycle 5 filing ER23-542.</v>
      </c>
      <c r="C43" s="35"/>
      <c r="D43" s="35"/>
      <c r="E43" s="55"/>
      <c r="F43" s="27"/>
      <c r="G43" s="33"/>
      <c r="H43" s="33"/>
      <c r="I43" s="36"/>
    </row>
    <row r="44" spans="1:9" ht="18.75" x14ac:dyDescent="0.25">
      <c r="A44" s="13">
        <v>1</v>
      </c>
      <c r="B44" s="7" t="s">
        <v>46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16" t="s">
        <v>152</v>
      </c>
      <c r="C47" s="315"/>
      <c r="D47" s="315"/>
      <c r="E47" s="315"/>
      <c r="F47" s="315"/>
      <c r="G47" s="315"/>
      <c r="H47" s="33"/>
      <c r="I47" s="36"/>
    </row>
    <row r="48" spans="1:9" x14ac:dyDescent="0.25">
      <c r="A48" s="33"/>
      <c r="B48" s="316" t="s">
        <v>13</v>
      </c>
      <c r="C48" s="315"/>
      <c r="D48" s="315"/>
      <c r="E48" s="315"/>
      <c r="F48" s="315"/>
      <c r="G48" s="315"/>
      <c r="H48" s="33"/>
      <c r="I48" s="36"/>
    </row>
    <row r="49" spans="1:9" ht="17.25" x14ac:dyDescent="0.25">
      <c r="A49" s="33"/>
      <c r="B49" s="316" t="s">
        <v>153</v>
      </c>
      <c r="C49" s="317"/>
      <c r="D49" s="317"/>
      <c r="E49" s="317"/>
      <c r="F49" s="317"/>
      <c r="G49" s="317"/>
      <c r="H49" s="33"/>
      <c r="I49" s="36"/>
    </row>
    <row r="50" spans="1:9" x14ac:dyDescent="0.25">
      <c r="A50" s="33"/>
      <c r="B50" s="312" t="str">
        <f>B5</f>
        <v>For the Base Period &amp; True-Up Period Ending December 31, 2021</v>
      </c>
      <c r="C50" s="313"/>
      <c r="D50" s="313"/>
      <c r="E50" s="313"/>
      <c r="F50" s="313"/>
      <c r="G50" s="313"/>
      <c r="H50" s="33"/>
      <c r="I50" s="36"/>
    </row>
    <row r="51" spans="1:9" x14ac:dyDescent="0.25">
      <c r="A51" s="33"/>
      <c r="B51" s="314" t="s">
        <v>1</v>
      </c>
      <c r="C51" s="315"/>
      <c r="D51" s="315"/>
      <c r="E51" s="315"/>
      <c r="F51" s="315"/>
      <c r="G51" s="315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2</v>
      </c>
      <c r="E53" s="30"/>
      <c r="G53" s="8"/>
      <c r="H53" s="8" t="s">
        <v>2</v>
      </c>
      <c r="I53" s="36"/>
    </row>
    <row r="54" spans="1:9" x14ac:dyDescent="0.25">
      <c r="A54" s="8" t="s">
        <v>6</v>
      </c>
      <c r="B54" s="27" t="s">
        <v>12</v>
      </c>
      <c r="E54" s="31" t="s">
        <v>4</v>
      </c>
      <c r="G54" s="32" t="s">
        <v>5</v>
      </c>
      <c r="H54" s="8" t="s">
        <v>6</v>
      </c>
      <c r="I54" s="36"/>
    </row>
    <row r="55" spans="1:9" ht="18.75" x14ac:dyDescent="0.25">
      <c r="A55" s="33"/>
      <c r="B55" s="14" t="s">
        <v>47</v>
      </c>
      <c r="E55" s="8"/>
      <c r="G55" s="8"/>
      <c r="H55" s="33"/>
      <c r="I55" s="36"/>
    </row>
    <row r="56" spans="1:9" x14ac:dyDescent="0.25">
      <c r="A56" s="8">
        <v>1</v>
      </c>
      <c r="B56" s="10" t="s">
        <v>48</v>
      </c>
      <c r="C56" s="35"/>
      <c r="D56" s="35"/>
      <c r="E56" s="56">
        <v>0</v>
      </c>
      <c r="G56" s="8" t="s">
        <v>49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50</v>
      </c>
      <c r="C58" s="35"/>
      <c r="D58" s="35"/>
      <c r="E58" s="49">
        <f>'Pg5 Rev Stmt AV'!G229</f>
        <v>1.6599077318567683E-2</v>
      </c>
      <c r="F58" s="57"/>
      <c r="G58" s="8" t="s">
        <v>225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51</v>
      </c>
      <c r="C59" s="35"/>
      <c r="D59" s="35"/>
      <c r="E59" s="58">
        <f>E143</f>
        <v>0</v>
      </c>
      <c r="G59" s="8" t="s">
        <v>52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53</v>
      </c>
      <c r="E60" s="15">
        <f>E59*E58</f>
        <v>0</v>
      </c>
      <c r="G60" s="8" t="s">
        <v>54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32</v>
      </c>
      <c r="E62" s="49">
        <f>'Pg5 Rev Stmt AV'!G263</f>
        <v>0</v>
      </c>
      <c r="G62" s="8" t="s">
        <v>226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51</v>
      </c>
      <c r="E63" s="58">
        <f>E143</f>
        <v>0</v>
      </c>
      <c r="G63" s="8" t="s">
        <v>52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34</v>
      </c>
      <c r="E64" s="15">
        <f>E63*E62</f>
        <v>0</v>
      </c>
      <c r="G64" s="8" t="s">
        <v>55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56</v>
      </c>
      <c r="E66" s="17">
        <f>E56+E60+E64</f>
        <v>0</v>
      </c>
      <c r="G66" s="8" t="s">
        <v>57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58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59</v>
      </c>
      <c r="E69" s="59">
        <v>0</v>
      </c>
      <c r="G69" s="8" t="s">
        <v>60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61</v>
      </c>
      <c r="E71" s="59">
        <f>E148</f>
        <v>0</v>
      </c>
      <c r="G71" s="8" t="s">
        <v>62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28</v>
      </c>
      <c r="C72" s="35"/>
      <c r="D72" s="38"/>
      <c r="E72" s="60">
        <f>'Pg5 Rev Stmt AV'!G149</f>
        <v>9.5313892619011159E-2</v>
      </c>
      <c r="F72" s="12"/>
      <c r="G72" s="8" t="s">
        <v>227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63</v>
      </c>
      <c r="E73" s="15">
        <f>E71*E72</f>
        <v>0</v>
      </c>
      <c r="G73" s="8" t="s">
        <v>64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61</v>
      </c>
      <c r="E75" s="59">
        <f>E148</f>
        <v>0</v>
      </c>
      <c r="G75" s="8" t="s">
        <v>62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32</v>
      </c>
      <c r="C76" s="61"/>
      <c r="D76" s="38"/>
      <c r="E76" s="62">
        <v>0</v>
      </c>
      <c r="F76" s="27"/>
      <c r="G76" s="8" t="s">
        <v>65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66</v>
      </c>
      <c r="E77" s="15">
        <f>E75*E76</f>
        <v>0</v>
      </c>
      <c r="G77" s="8" t="s">
        <v>67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68</v>
      </c>
      <c r="E79" s="17">
        <f>E69+E73+E77</f>
        <v>0</v>
      </c>
      <c r="G79" s="8" t="s">
        <v>69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70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71</v>
      </c>
      <c r="C82" s="35"/>
      <c r="D82" s="35"/>
      <c r="E82" s="56">
        <f>E150</f>
        <v>0</v>
      </c>
      <c r="G82" s="8" t="s">
        <v>72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28</v>
      </c>
      <c r="C83" s="35"/>
      <c r="D83" s="35"/>
      <c r="E83" s="63">
        <f>'Pg5 Rev Stmt AV'!G149</f>
        <v>9.5313892619011159E-2</v>
      </c>
      <c r="F83" s="12"/>
      <c r="G83" s="8" t="s">
        <v>227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73</v>
      </c>
      <c r="C84" s="35"/>
      <c r="D84" s="35"/>
      <c r="E84" s="23">
        <f>E82*E83</f>
        <v>0</v>
      </c>
      <c r="G84" s="8" t="s">
        <v>74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71</v>
      </c>
      <c r="C86" s="35"/>
      <c r="D86" s="35"/>
      <c r="E86" s="56">
        <f>E150</f>
        <v>0</v>
      </c>
      <c r="G86" s="8" t="s">
        <v>72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32</v>
      </c>
      <c r="C87" s="35"/>
      <c r="D87" s="35"/>
      <c r="E87" s="291">
        <f>'Pg5 Rev Stmt AV'!G183</f>
        <v>0</v>
      </c>
      <c r="F87" s="12" t="s">
        <v>16</v>
      </c>
      <c r="G87" s="8" t="s">
        <v>427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75</v>
      </c>
      <c r="C88" s="35"/>
      <c r="D88" s="35"/>
      <c r="E88" s="23">
        <f>E86*E87</f>
        <v>0</v>
      </c>
      <c r="G88" s="8" t="s">
        <v>76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77</v>
      </c>
      <c r="C90" s="35"/>
      <c r="D90" s="35"/>
      <c r="E90" s="17">
        <f>E84+E88</f>
        <v>0</v>
      </c>
      <c r="G90" s="8" t="s">
        <v>78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79</v>
      </c>
      <c r="E92" s="24">
        <f>E66+E79+E90</f>
        <v>0</v>
      </c>
      <c r="G92" s="8" t="s">
        <v>80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81</v>
      </c>
      <c r="C94" s="35"/>
      <c r="D94" s="35"/>
      <c r="E94" s="287">
        <f>+E40+E92</f>
        <v>967704.33216498327</v>
      </c>
      <c r="F94" s="12" t="s">
        <v>16</v>
      </c>
      <c r="G94" s="8" t="s">
        <v>82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12" t="s">
        <v>16</v>
      </c>
      <c r="B97" s="5" t="str">
        <f>B43</f>
        <v>Items in BOLD have changed due to clearing the ROE Adder to zero for the TO6 Cycle 1 filing ER25-270 as compared to the original TO5 Cycle 5 filing ER23-542.</v>
      </c>
      <c r="C97" s="35"/>
      <c r="D97" s="35"/>
      <c r="E97" s="21"/>
      <c r="F97" s="27"/>
      <c r="G97" s="8"/>
    </row>
    <row r="98" spans="1:8" ht="18.75" x14ac:dyDescent="0.25">
      <c r="A98" s="13">
        <v>1</v>
      </c>
      <c r="B98" s="7" t="s">
        <v>46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83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84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16" t="s">
        <v>152</v>
      </c>
      <c r="C103" s="315"/>
      <c r="D103" s="315"/>
      <c r="E103" s="315"/>
      <c r="F103" s="315"/>
      <c r="G103" s="315"/>
    </row>
    <row r="104" spans="1:8" x14ac:dyDescent="0.25">
      <c r="A104" s="8"/>
      <c r="B104" s="316" t="s">
        <v>13</v>
      </c>
      <c r="C104" s="315"/>
      <c r="D104" s="315"/>
      <c r="E104" s="315"/>
      <c r="F104" s="315"/>
      <c r="G104" s="315"/>
    </row>
    <row r="105" spans="1:8" ht="17.25" x14ac:dyDescent="0.25">
      <c r="A105" s="8" t="s">
        <v>12</v>
      </c>
      <c r="B105" s="316" t="s">
        <v>153</v>
      </c>
      <c r="C105" s="317"/>
      <c r="D105" s="317"/>
      <c r="E105" s="317"/>
      <c r="F105" s="317"/>
      <c r="G105" s="317"/>
      <c r="H105" s="8" t="s">
        <v>12</v>
      </c>
    </row>
    <row r="106" spans="1:8" x14ac:dyDescent="0.25">
      <c r="A106" s="8"/>
      <c r="B106" s="312" t="str">
        <f>B5</f>
        <v>For the Base Period &amp; True-Up Period Ending December 31, 2021</v>
      </c>
      <c r="C106" s="313"/>
      <c r="D106" s="313"/>
      <c r="E106" s="313"/>
      <c r="F106" s="313"/>
      <c r="G106" s="313"/>
    </row>
    <row r="107" spans="1:8" x14ac:dyDescent="0.25">
      <c r="A107" s="8"/>
      <c r="B107" s="314" t="s">
        <v>1</v>
      </c>
      <c r="C107" s="315"/>
      <c r="D107" s="315"/>
      <c r="E107" s="315"/>
      <c r="F107" s="315"/>
      <c r="G107" s="315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2</v>
      </c>
      <c r="E109" s="30"/>
      <c r="G109" s="8"/>
      <c r="H109" s="8" t="s">
        <v>2</v>
      </c>
    </row>
    <row r="110" spans="1:8" x14ac:dyDescent="0.25">
      <c r="A110" s="8" t="s">
        <v>6</v>
      </c>
      <c r="B110" s="27" t="s">
        <v>12</v>
      </c>
      <c r="E110" s="31" t="s">
        <v>4</v>
      </c>
      <c r="G110" s="32" t="s">
        <v>5</v>
      </c>
      <c r="H110" s="8" t="s">
        <v>6</v>
      </c>
    </row>
    <row r="111" spans="1:8" x14ac:dyDescent="0.25">
      <c r="A111" s="33"/>
      <c r="B111" s="14" t="s">
        <v>157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85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86</v>
      </c>
      <c r="C113" s="65"/>
      <c r="D113" s="65"/>
      <c r="E113" s="245">
        <f>E181</f>
        <v>5547094.6691546161</v>
      </c>
      <c r="F113" s="12"/>
      <c r="G113" s="8" t="s">
        <v>158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87</v>
      </c>
      <c r="C114" s="65"/>
      <c r="D114" s="65"/>
      <c r="E114" s="246">
        <f>E182</f>
        <v>5093</v>
      </c>
      <c r="F114" s="12"/>
      <c r="G114" s="8" t="s">
        <v>159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88</v>
      </c>
      <c r="C115" s="65"/>
      <c r="D115" s="65"/>
      <c r="E115" s="246">
        <f>E183</f>
        <v>59555</v>
      </c>
      <c r="F115" s="12"/>
      <c r="G115" s="8" t="s">
        <v>160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89</v>
      </c>
      <c r="C116" s="65"/>
      <c r="D116" s="65"/>
      <c r="E116" s="247">
        <f>E184</f>
        <v>149365</v>
      </c>
      <c r="F116" s="12"/>
      <c r="G116" s="8" t="s">
        <v>161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90</v>
      </c>
      <c r="C117" s="8"/>
      <c r="D117" s="8"/>
      <c r="E117" s="238">
        <f>SUM(E113:E116)</f>
        <v>5761107.6691546161</v>
      </c>
      <c r="F117" s="12"/>
      <c r="G117" s="8" t="s">
        <v>91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92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162</v>
      </c>
      <c r="C120" s="8"/>
      <c r="D120" s="8"/>
      <c r="E120" s="67">
        <v>0</v>
      </c>
      <c r="F120" s="43"/>
      <c r="G120" s="8" t="s">
        <v>93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94</v>
      </c>
      <c r="C121" s="8"/>
      <c r="D121" s="8"/>
      <c r="E121" s="68">
        <v>0</v>
      </c>
      <c r="G121" s="8" t="s">
        <v>95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96</v>
      </c>
      <c r="C122" s="8"/>
      <c r="D122" s="8"/>
      <c r="E122" s="69">
        <f>SUM(E120:E121)</f>
        <v>0</v>
      </c>
      <c r="F122" s="43"/>
      <c r="G122" s="8" t="s">
        <v>97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98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99</v>
      </c>
      <c r="C125" s="8"/>
      <c r="D125" s="8"/>
      <c r="E125" s="248">
        <v>-993518.29794242466</v>
      </c>
      <c r="F125" s="12"/>
      <c r="G125" s="8" t="s">
        <v>219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100</v>
      </c>
      <c r="C126" s="8"/>
      <c r="D126" s="8"/>
      <c r="E126" s="53">
        <v>0</v>
      </c>
      <c r="G126" s="8" t="s">
        <v>101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102</v>
      </c>
      <c r="C127" s="8"/>
      <c r="D127" s="8"/>
      <c r="E127" s="238">
        <f>SUM(E125:E126)</f>
        <v>-993518.29794242466</v>
      </c>
      <c r="F127" s="12"/>
      <c r="G127" s="8" t="s">
        <v>103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104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163</v>
      </c>
      <c r="C130" s="8"/>
      <c r="D130" s="8"/>
      <c r="E130" s="245">
        <v>48571.669458538468</v>
      </c>
      <c r="F130" s="12"/>
      <c r="G130" s="8" t="s">
        <v>228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105</v>
      </c>
      <c r="C131" s="8"/>
      <c r="D131" s="8"/>
      <c r="E131" s="246">
        <v>41902.961994846148</v>
      </c>
      <c r="F131" s="12"/>
      <c r="G131" s="8" t="s">
        <v>229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106</v>
      </c>
      <c r="C132" s="8"/>
      <c r="D132" s="8"/>
      <c r="E132" s="247">
        <v>24887.543158749999</v>
      </c>
      <c r="F132" s="12"/>
      <c r="G132" s="8" t="s">
        <v>230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164</v>
      </c>
      <c r="E133" s="238">
        <f>SUM(E130:E132)</f>
        <v>115362.17461213461</v>
      </c>
      <c r="F133" s="12"/>
      <c r="G133" s="8" t="s">
        <v>107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108</v>
      </c>
      <c r="E135" s="72">
        <v>0</v>
      </c>
      <c r="G135" s="8" t="s">
        <v>109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110</v>
      </c>
      <c r="E136" s="58">
        <v>-11021.620822994773</v>
      </c>
      <c r="F136" s="12"/>
      <c r="G136" s="8" t="s">
        <v>111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112</v>
      </c>
      <c r="E138" s="249">
        <f>E135+E133+E127+E122+E117+E136</f>
        <v>4871929.9250013307</v>
      </c>
      <c r="F138" s="12"/>
      <c r="G138" s="8" t="s">
        <v>113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114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115</v>
      </c>
      <c r="E141" s="59">
        <f>E190</f>
        <v>0</v>
      </c>
      <c r="G141" s="8" t="s">
        <v>116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117</v>
      </c>
      <c r="E142" s="53">
        <v>0</v>
      </c>
      <c r="G142" s="8" t="s">
        <v>118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119</v>
      </c>
      <c r="E143" s="15">
        <f>SUM(E141:E142)</f>
        <v>0</v>
      </c>
      <c r="G143" s="8" t="s">
        <v>120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121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122</v>
      </c>
      <c r="E146" s="59">
        <v>0</v>
      </c>
      <c r="G146" s="8" t="s">
        <v>123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124</v>
      </c>
      <c r="E147" s="54">
        <v>0</v>
      </c>
      <c r="G147" s="8" t="s">
        <v>125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126</v>
      </c>
      <c r="E148" s="15">
        <f>SUM(E146:E147)</f>
        <v>0</v>
      </c>
      <c r="G148" s="8" t="s">
        <v>127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128</v>
      </c>
      <c r="E150" s="59">
        <v>0</v>
      </c>
      <c r="G150" s="8" t="s">
        <v>129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x14ac:dyDescent="0.25">
      <c r="A153" s="12"/>
      <c r="B153" s="5"/>
      <c r="E153" s="18"/>
      <c r="G153" s="8"/>
    </row>
    <row r="154" spans="1:8" ht="18.75" x14ac:dyDescent="0.25">
      <c r="A154" s="13">
        <v>1</v>
      </c>
      <c r="B154" s="7" t="s">
        <v>83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16" t="s">
        <v>152</v>
      </c>
      <c r="C157" s="315"/>
      <c r="D157" s="315"/>
      <c r="E157" s="315"/>
      <c r="F157" s="315"/>
      <c r="G157" s="315"/>
    </row>
    <row r="158" spans="1:8" x14ac:dyDescent="0.25">
      <c r="A158" s="8" t="s">
        <v>12</v>
      </c>
      <c r="B158" s="316" t="s">
        <v>13</v>
      </c>
      <c r="C158" s="315"/>
      <c r="D158" s="315"/>
      <c r="E158" s="315"/>
      <c r="F158" s="315"/>
      <c r="G158" s="315"/>
    </row>
    <row r="159" spans="1:8" ht="17.25" x14ac:dyDescent="0.25">
      <c r="A159" s="8"/>
      <c r="B159" s="316" t="s">
        <v>153</v>
      </c>
      <c r="C159" s="317"/>
      <c r="D159" s="317"/>
      <c r="E159" s="317"/>
      <c r="F159" s="317"/>
      <c r="G159" s="317"/>
    </row>
    <row r="160" spans="1:8" x14ac:dyDescent="0.25">
      <c r="A160" s="8"/>
      <c r="B160" s="312" t="str">
        <f>B5</f>
        <v>For the Base Period &amp; True-Up Period Ending December 31, 2021</v>
      </c>
      <c r="C160" s="313"/>
      <c r="D160" s="313"/>
      <c r="E160" s="313"/>
      <c r="F160" s="313"/>
      <c r="G160" s="313"/>
    </row>
    <row r="161" spans="1:10" x14ac:dyDescent="0.25">
      <c r="A161" s="8"/>
      <c r="B161" s="314" t="s">
        <v>1</v>
      </c>
      <c r="C161" s="315"/>
      <c r="D161" s="315"/>
      <c r="E161" s="315"/>
      <c r="F161" s="315"/>
      <c r="G161" s="315"/>
    </row>
    <row r="162" spans="1:10" x14ac:dyDescent="0.25">
      <c r="A162" s="8"/>
      <c r="B162" s="73"/>
    </row>
    <row r="163" spans="1:10" x14ac:dyDescent="0.25">
      <c r="A163" s="8" t="s">
        <v>2</v>
      </c>
      <c r="E163" s="30"/>
      <c r="G163" s="8"/>
      <c r="H163" s="8" t="s">
        <v>2</v>
      </c>
    </row>
    <row r="164" spans="1:10" x14ac:dyDescent="0.25">
      <c r="A164" s="8" t="s">
        <v>6</v>
      </c>
      <c r="B164" s="27" t="s">
        <v>12</v>
      </c>
      <c r="E164" s="31" t="s">
        <v>4</v>
      </c>
      <c r="G164" s="32" t="s">
        <v>5</v>
      </c>
      <c r="H164" s="8" t="s">
        <v>6</v>
      </c>
    </row>
    <row r="165" spans="1:10" x14ac:dyDescent="0.25">
      <c r="A165" s="33"/>
      <c r="B165" s="14" t="s">
        <v>165</v>
      </c>
      <c r="E165" s="30"/>
      <c r="G165" s="8"/>
      <c r="H165" s="33"/>
    </row>
    <row r="166" spans="1:10" x14ac:dyDescent="0.25">
      <c r="A166" s="8">
        <v>1</v>
      </c>
      <c r="B166" s="66" t="s">
        <v>130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86</v>
      </c>
      <c r="E167" s="51">
        <v>7091163.5102730775</v>
      </c>
      <c r="F167" s="12"/>
      <c r="G167" s="8" t="s">
        <v>213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166</v>
      </c>
      <c r="E168" s="75">
        <v>38763</v>
      </c>
      <c r="F168" s="12"/>
      <c r="G168" s="8" t="s">
        <v>214</v>
      </c>
      <c r="H168" s="8">
        <f t="shared" si="7"/>
        <v>3</v>
      </c>
      <c r="I168" s="76"/>
    </row>
    <row r="169" spans="1:10" x14ac:dyDescent="0.25">
      <c r="A169" s="8">
        <f t="shared" si="6"/>
        <v>4</v>
      </c>
      <c r="B169" s="10" t="s">
        <v>88</v>
      </c>
      <c r="E169" s="75">
        <v>101746</v>
      </c>
      <c r="F169" s="12"/>
      <c r="G169" s="8" t="s">
        <v>211</v>
      </c>
      <c r="H169" s="8">
        <f t="shared" si="7"/>
        <v>4</v>
      </c>
      <c r="J169" s="77"/>
    </row>
    <row r="170" spans="1:10" x14ac:dyDescent="0.25">
      <c r="A170" s="8">
        <f t="shared" si="6"/>
        <v>5</v>
      </c>
      <c r="B170" s="10" t="s">
        <v>89</v>
      </c>
      <c r="C170" s="8"/>
      <c r="D170" s="8"/>
      <c r="E170" s="47">
        <v>276201</v>
      </c>
      <c r="F170" s="12"/>
      <c r="G170" s="8" t="s">
        <v>212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131</v>
      </c>
      <c r="E171" s="238">
        <f>SUM(E167:E170)</f>
        <v>7507873.5102730775</v>
      </c>
      <c r="F171" s="12"/>
      <c r="G171" s="8" t="s">
        <v>91</v>
      </c>
      <c r="H171" s="8">
        <f t="shared" si="7"/>
        <v>6</v>
      </c>
      <c r="I171" s="76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132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133</v>
      </c>
      <c r="E174" s="51">
        <v>1544068.8411184615</v>
      </c>
      <c r="F174" s="12"/>
      <c r="G174" s="8" t="s">
        <v>215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134</v>
      </c>
      <c r="E175" s="75">
        <v>33670</v>
      </c>
      <c r="F175" s="43"/>
      <c r="G175" s="8" t="s">
        <v>216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135</v>
      </c>
      <c r="E176" s="75">
        <v>42191</v>
      </c>
      <c r="F176" s="12"/>
      <c r="G176" s="8" t="s">
        <v>217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136</v>
      </c>
      <c r="E177" s="47">
        <v>126836</v>
      </c>
      <c r="F177" s="12"/>
      <c r="G177" s="8" t="s">
        <v>218</v>
      </c>
      <c r="H177" s="8">
        <f t="shared" si="7"/>
        <v>12</v>
      </c>
    </row>
    <row r="178" spans="1:8" x14ac:dyDescent="0.25">
      <c r="A178" s="8">
        <f t="shared" si="6"/>
        <v>13</v>
      </c>
      <c r="B178" s="76" t="s">
        <v>137</v>
      </c>
      <c r="C178" s="76"/>
      <c r="D178" s="76"/>
      <c r="E178" s="239">
        <f>SUM(E174:E177)</f>
        <v>1746765.8411184615</v>
      </c>
      <c r="F178" s="12"/>
      <c r="G178" s="8" t="s">
        <v>138</v>
      </c>
      <c r="H178" s="8">
        <f t="shared" si="7"/>
        <v>13</v>
      </c>
    </row>
    <row r="179" spans="1:8" x14ac:dyDescent="0.25">
      <c r="A179" s="8">
        <f t="shared" si="6"/>
        <v>14</v>
      </c>
      <c r="B179" s="76"/>
      <c r="C179" s="76"/>
      <c r="D179" s="76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85</v>
      </c>
      <c r="C180" s="76"/>
      <c r="D180" s="76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86</v>
      </c>
      <c r="E181" s="18">
        <f>+E167-E174</f>
        <v>5547094.6691546161</v>
      </c>
      <c r="F181" s="12"/>
      <c r="G181" s="8" t="s">
        <v>139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87</v>
      </c>
      <c r="E182" s="46">
        <f>+E168-E175</f>
        <v>5093</v>
      </c>
      <c r="F182" s="12"/>
      <c r="G182" s="8" t="s">
        <v>140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88</v>
      </c>
      <c r="E183" s="46">
        <f>+E169-E176</f>
        <v>59555</v>
      </c>
      <c r="F183" s="12"/>
      <c r="G183" s="8" t="s">
        <v>141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89</v>
      </c>
      <c r="E184" s="240">
        <f>+E170-E177</f>
        <v>149365</v>
      </c>
      <c r="F184" s="12"/>
      <c r="G184" s="8" t="s">
        <v>142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90</v>
      </c>
      <c r="E185" s="241">
        <f>SUM(E181:E184)</f>
        <v>5761107.6691546161</v>
      </c>
      <c r="F185" s="12"/>
      <c r="G185" s="8" t="s">
        <v>143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144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145</v>
      </c>
      <c r="E188" s="59">
        <v>0</v>
      </c>
      <c r="G188" s="8" t="s">
        <v>146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147</v>
      </c>
      <c r="E189" s="54">
        <v>0</v>
      </c>
      <c r="G189" s="8" t="s">
        <v>148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149</v>
      </c>
      <c r="E190" s="78">
        <f>E188-E189</f>
        <v>0</v>
      </c>
      <c r="G190" s="8" t="s">
        <v>150</v>
      </c>
      <c r="H190" s="8">
        <f t="shared" si="7"/>
        <v>25</v>
      </c>
    </row>
    <row r="191" spans="1:8" ht="16.5" thickTop="1" x14ac:dyDescent="0.25">
      <c r="A191" s="8"/>
      <c r="B191" s="10"/>
      <c r="E191" s="16"/>
      <c r="G191" s="8"/>
    </row>
    <row r="192" spans="1:8" x14ac:dyDescent="0.25">
      <c r="A192" s="8"/>
      <c r="B192" s="10"/>
      <c r="E192" s="16"/>
      <c r="G192" s="8"/>
    </row>
    <row r="193" spans="1:10" s="8" customFormat="1" ht="18.75" x14ac:dyDescent="0.25">
      <c r="A193" s="13">
        <v>1</v>
      </c>
      <c r="B193" s="7" t="s">
        <v>151</v>
      </c>
      <c r="C193" s="7"/>
      <c r="D193" s="7"/>
      <c r="E193" s="18"/>
      <c r="F193" s="7"/>
      <c r="I193" s="7"/>
      <c r="J193" s="7"/>
    </row>
    <row r="195" spans="1:10" s="8" customFormat="1" x14ac:dyDescent="0.25">
      <c r="A195" s="7"/>
      <c r="B195" s="7"/>
      <c r="C195" s="7"/>
      <c r="D195" s="7"/>
      <c r="E195" s="79"/>
      <c r="F195" s="7"/>
      <c r="G195" s="7"/>
      <c r="I195" s="7"/>
      <c r="J195" s="7"/>
    </row>
  </sheetData>
  <mergeCells count="20">
    <mergeCell ref="B160:G160"/>
    <mergeCell ref="B161:G161"/>
    <mergeCell ref="B105:G105"/>
    <mergeCell ref="B106:G106"/>
    <mergeCell ref="B107:G107"/>
    <mergeCell ref="B157:G157"/>
    <mergeCell ref="B158:G158"/>
    <mergeCell ref="B159:G159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E16F-8968-4FA7-972E-099A43D6616A}">
  <dimension ref="A1:J196"/>
  <sheetViews>
    <sheetView view="pageBreakPreview" zoomScale="60" zoomScaleNormal="80" workbookViewId="0">
      <selection activeCell="B25" sqref="B25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61" t="s">
        <v>416</v>
      </c>
    </row>
    <row r="2" spans="1:10" x14ac:dyDescent="0.25">
      <c r="G2" s="28"/>
    </row>
    <row r="3" spans="1:10" x14ac:dyDescent="0.25">
      <c r="A3" s="8"/>
      <c r="B3" s="316" t="s">
        <v>152</v>
      </c>
      <c r="C3" s="315"/>
      <c r="D3" s="315"/>
      <c r="E3" s="315"/>
      <c r="F3" s="315"/>
      <c r="G3" s="315"/>
    </row>
    <row r="4" spans="1:10" x14ac:dyDescent="0.25">
      <c r="A4" s="8" t="s">
        <v>12</v>
      </c>
      <c r="B4" s="316" t="s">
        <v>13</v>
      </c>
      <c r="C4" s="315"/>
      <c r="D4" s="315"/>
      <c r="E4" s="315"/>
      <c r="F4" s="315"/>
      <c r="G4" s="315"/>
    </row>
    <row r="5" spans="1:10" ht="17.25" x14ac:dyDescent="0.25">
      <c r="A5" s="8"/>
      <c r="B5" s="316" t="s">
        <v>153</v>
      </c>
      <c r="C5" s="317"/>
      <c r="D5" s="317"/>
      <c r="E5" s="317"/>
      <c r="F5" s="317"/>
      <c r="G5" s="317"/>
    </row>
    <row r="6" spans="1:10" x14ac:dyDescent="0.25">
      <c r="A6" s="8"/>
      <c r="B6" s="318" t="s">
        <v>210</v>
      </c>
      <c r="C6" s="318"/>
      <c r="D6" s="318"/>
      <c r="E6" s="318"/>
      <c r="F6" s="318"/>
      <c r="G6" s="318"/>
    </row>
    <row r="7" spans="1:10" x14ac:dyDescent="0.25">
      <c r="A7" s="8"/>
      <c r="B7" s="314" t="s">
        <v>1</v>
      </c>
      <c r="C7" s="315"/>
      <c r="D7" s="315"/>
      <c r="E7" s="315"/>
      <c r="F7" s="315"/>
      <c r="G7" s="315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2</v>
      </c>
      <c r="E9" s="30"/>
      <c r="G9" s="8"/>
      <c r="H9" s="8" t="s">
        <v>2</v>
      </c>
    </row>
    <row r="10" spans="1:10" ht="15.75" customHeight="1" x14ac:dyDescent="0.25">
      <c r="A10" s="32" t="s">
        <v>6</v>
      </c>
      <c r="B10" s="27" t="s">
        <v>12</v>
      </c>
      <c r="E10" s="31" t="s">
        <v>4</v>
      </c>
      <c r="G10" s="32" t="s">
        <v>5</v>
      </c>
      <c r="H10" s="32" t="s">
        <v>6</v>
      </c>
    </row>
    <row r="11" spans="1:10" x14ac:dyDescent="0.25">
      <c r="A11" s="33"/>
      <c r="B11" s="14" t="s">
        <v>14</v>
      </c>
      <c r="E11" s="34"/>
      <c r="G11" s="8"/>
      <c r="H11" s="33"/>
    </row>
    <row r="12" spans="1:10" x14ac:dyDescent="0.25">
      <c r="A12" s="8">
        <v>1</v>
      </c>
      <c r="B12" s="10" t="s">
        <v>15</v>
      </c>
      <c r="C12" s="35"/>
      <c r="D12" s="35"/>
      <c r="E12" s="116">
        <v>100282.34526999999</v>
      </c>
      <c r="F12" s="12"/>
      <c r="G12" s="8" t="s">
        <v>154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12</v>
      </c>
      <c r="C13" s="35"/>
      <c r="D13" s="35"/>
      <c r="E13" s="37" t="s">
        <v>12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17</v>
      </c>
      <c r="C14" s="35"/>
      <c r="D14" s="35"/>
      <c r="E14" s="282">
        <v>98818</v>
      </c>
      <c r="F14" s="12" t="s">
        <v>16</v>
      </c>
      <c r="G14" s="8" t="s">
        <v>415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F15" s="27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18</v>
      </c>
      <c r="C16" s="35"/>
      <c r="D16" s="35"/>
      <c r="E16" s="40">
        <v>0</v>
      </c>
      <c r="G16" s="8" t="s">
        <v>207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19</v>
      </c>
      <c r="C17" s="35"/>
      <c r="D17" s="35"/>
      <c r="E17" s="283">
        <f>E12+E14+E16</f>
        <v>199100.34526999999</v>
      </c>
      <c r="F17" s="12" t="s">
        <v>16</v>
      </c>
      <c r="G17" s="8" t="s">
        <v>20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21</v>
      </c>
      <c r="C19" s="35"/>
      <c r="D19" s="35"/>
      <c r="E19" s="243">
        <v>241672.36250622445</v>
      </c>
      <c r="F19" s="12"/>
      <c r="G19" s="8" t="s">
        <v>221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12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22</v>
      </c>
      <c r="E21" s="45">
        <v>0</v>
      </c>
      <c r="G21" s="8" t="s">
        <v>155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23</v>
      </c>
      <c r="C23" s="35"/>
      <c r="D23" s="35"/>
      <c r="E23" s="244">
        <v>63645.008378442893</v>
      </c>
      <c r="F23" s="12"/>
      <c r="G23" s="8" t="s">
        <v>222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24</v>
      </c>
      <c r="C25" s="35"/>
      <c r="D25" s="35"/>
      <c r="E25" s="47">
        <v>3394.3201018580767</v>
      </c>
      <c r="F25" s="27"/>
      <c r="G25" s="8" t="s">
        <v>25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26</v>
      </c>
      <c r="C26" s="35"/>
      <c r="D26" s="35"/>
      <c r="E26" s="284">
        <f>SUM(E17+E19+E21+E23+E25)</f>
        <v>507812.03625652543</v>
      </c>
      <c r="F26" s="12" t="s">
        <v>16</v>
      </c>
      <c r="G26" s="8" t="s">
        <v>27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28</v>
      </c>
      <c r="C28" s="35"/>
      <c r="D28" s="35"/>
      <c r="E28" s="49">
        <v>9.5313887943714093E-2</v>
      </c>
      <c r="F28" s="12"/>
      <c r="G28" s="8" t="s">
        <v>223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29</v>
      </c>
      <c r="C29" s="35"/>
      <c r="D29" s="35"/>
      <c r="E29" s="285">
        <f>E139</f>
        <v>4871929.9250013307</v>
      </c>
      <c r="F29" s="12" t="s">
        <v>16</v>
      </c>
      <c r="G29" s="8" t="s">
        <v>156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30</v>
      </c>
      <c r="C30" s="35"/>
      <c r="D30" s="35"/>
      <c r="E30" s="286">
        <f>E29*E28</f>
        <v>464362.58294120425</v>
      </c>
      <c r="F30" s="12" t="s">
        <v>16</v>
      </c>
      <c r="G30" s="8" t="s">
        <v>31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32</v>
      </c>
      <c r="C32" s="35"/>
      <c r="D32" s="38"/>
      <c r="E32" s="49">
        <v>3.9113461135350091E-3</v>
      </c>
      <c r="F32" s="27"/>
      <c r="G32" s="8" t="s">
        <v>224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29</v>
      </c>
      <c r="C33" s="35"/>
      <c r="D33" s="35"/>
      <c r="E33" s="285">
        <f>E139-E122</f>
        <v>4871929.9250013307</v>
      </c>
      <c r="F33" s="12" t="s">
        <v>16</v>
      </c>
      <c r="G33" s="8" t="s">
        <v>33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34</v>
      </c>
      <c r="E34" s="286">
        <f>E33*E32</f>
        <v>19055.804177568862</v>
      </c>
      <c r="F34" s="12" t="s">
        <v>16</v>
      </c>
      <c r="G34" s="8" t="s">
        <v>35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36</v>
      </c>
      <c r="E36" s="51">
        <v>1304.0991895338727</v>
      </c>
      <c r="G36" s="8" t="s">
        <v>37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38</v>
      </c>
      <c r="E37" s="52">
        <v>-5774.4090000000006</v>
      </c>
      <c r="F37" s="12"/>
      <c r="G37" s="8" t="s">
        <v>39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40</v>
      </c>
      <c r="E38" s="53">
        <v>0</v>
      </c>
      <c r="G38" s="8" t="s">
        <v>41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42</v>
      </c>
      <c r="E39" s="54">
        <v>0</v>
      </c>
      <c r="G39" s="8" t="s">
        <v>43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12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44</v>
      </c>
      <c r="C41" s="35"/>
      <c r="D41" s="35"/>
      <c r="E41" s="287">
        <f>E30+E34+E26+SUM(E36:E39)</f>
        <v>986760.11356483237</v>
      </c>
      <c r="F41" s="117" t="s">
        <v>16</v>
      </c>
      <c r="G41" s="25" t="s">
        <v>45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16</v>
      </c>
      <c r="B44" s="5" t="str">
        <f>'[1]Pg2 TO5 C5 BK-1 Comparison'!B97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46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16" t="s">
        <v>152</v>
      </c>
      <c r="C48" s="315"/>
      <c r="D48" s="315"/>
      <c r="E48" s="315"/>
      <c r="F48" s="315"/>
      <c r="G48" s="315"/>
      <c r="H48" s="33"/>
      <c r="I48" s="36"/>
    </row>
    <row r="49" spans="1:9" x14ac:dyDescent="0.25">
      <c r="A49" s="33"/>
      <c r="B49" s="316" t="s">
        <v>13</v>
      </c>
      <c r="C49" s="315"/>
      <c r="D49" s="315"/>
      <c r="E49" s="315"/>
      <c r="F49" s="315"/>
      <c r="G49" s="315"/>
      <c r="H49" s="33"/>
      <c r="I49" s="36"/>
    </row>
    <row r="50" spans="1:9" ht="17.25" x14ac:dyDescent="0.25">
      <c r="A50" s="33"/>
      <c r="B50" s="316" t="s">
        <v>153</v>
      </c>
      <c r="C50" s="317"/>
      <c r="D50" s="317"/>
      <c r="E50" s="317"/>
      <c r="F50" s="317"/>
      <c r="G50" s="317"/>
      <c r="H50" s="33"/>
      <c r="I50" s="36"/>
    </row>
    <row r="51" spans="1:9" x14ac:dyDescent="0.25">
      <c r="A51" s="33"/>
      <c r="B51" s="312" t="str">
        <f>B6</f>
        <v>For the Base Period &amp; True-Up Period Ending December 31, 2021</v>
      </c>
      <c r="C51" s="313"/>
      <c r="D51" s="313"/>
      <c r="E51" s="313"/>
      <c r="F51" s="313"/>
      <c r="G51" s="313"/>
      <c r="H51" s="33"/>
      <c r="I51" s="36"/>
    </row>
    <row r="52" spans="1:9" x14ac:dyDescent="0.25">
      <c r="A52" s="33"/>
      <c r="B52" s="314" t="s">
        <v>1</v>
      </c>
      <c r="C52" s="315"/>
      <c r="D52" s="315"/>
      <c r="E52" s="315"/>
      <c r="F52" s="315"/>
      <c r="G52" s="315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2</v>
      </c>
      <c r="E54" s="30"/>
      <c r="G54" s="8"/>
      <c r="H54" s="8" t="s">
        <v>2</v>
      </c>
      <c r="I54" s="36"/>
    </row>
    <row r="55" spans="1:9" x14ac:dyDescent="0.25">
      <c r="A55" s="8" t="s">
        <v>6</v>
      </c>
      <c r="B55" s="27" t="s">
        <v>12</v>
      </c>
      <c r="E55" s="31" t="s">
        <v>4</v>
      </c>
      <c r="G55" s="32" t="s">
        <v>5</v>
      </c>
      <c r="H55" s="8" t="s">
        <v>6</v>
      </c>
      <c r="I55" s="36"/>
    </row>
    <row r="56" spans="1:9" ht="18.75" x14ac:dyDescent="0.25">
      <c r="A56" s="33"/>
      <c r="B56" s="14" t="s">
        <v>47</v>
      </c>
      <c r="E56" s="8"/>
      <c r="G56" s="8"/>
      <c r="H56" s="33"/>
      <c r="I56" s="36"/>
    </row>
    <row r="57" spans="1:9" x14ac:dyDescent="0.25">
      <c r="A57" s="8">
        <v>1</v>
      </c>
      <c r="B57" s="10" t="s">
        <v>48</v>
      </c>
      <c r="C57" s="35"/>
      <c r="D57" s="35"/>
      <c r="E57" s="56">
        <v>0</v>
      </c>
      <c r="G57" s="8" t="s">
        <v>49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50</v>
      </c>
      <c r="C59" s="35"/>
      <c r="D59" s="35"/>
      <c r="E59" s="49">
        <v>1.6599077318567683E-2</v>
      </c>
      <c r="F59" s="57"/>
      <c r="G59" s="8" t="s">
        <v>225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51</v>
      </c>
      <c r="C60" s="35"/>
      <c r="D60" s="35"/>
      <c r="E60" s="58">
        <f>E144</f>
        <v>0</v>
      </c>
      <c r="G60" s="8" t="s">
        <v>52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53</v>
      </c>
      <c r="E61" s="15">
        <f>E60*E59</f>
        <v>0</v>
      </c>
      <c r="G61" s="8" t="s">
        <v>54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32</v>
      </c>
      <c r="E63" s="49">
        <v>0</v>
      </c>
      <c r="G63" s="8" t="s">
        <v>226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51</v>
      </c>
      <c r="E64" s="58">
        <f>E144</f>
        <v>0</v>
      </c>
      <c r="G64" s="8" t="s">
        <v>52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34</v>
      </c>
      <c r="E65" s="15">
        <f>E64*E63</f>
        <v>0</v>
      </c>
      <c r="G65" s="8" t="s">
        <v>55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56</v>
      </c>
      <c r="E67" s="17">
        <f>E57+E61+E65</f>
        <v>0</v>
      </c>
      <c r="G67" s="8" t="s">
        <v>57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58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59</v>
      </c>
      <c r="E70" s="59">
        <v>0</v>
      </c>
      <c r="G70" s="8" t="s">
        <v>60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61</v>
      </c>
      <c r="E72" s="59">
        <f>E149</f>
        <v>0</v>
      </c>
      <c r="G72" s="8" t="s">
        <v>62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28</v>
      </c>
      <c r="C73" s="35"/>
      <c r="D73" s="38"/>
      <c r="E73" s="60">
        <v>9.5313887943714093E-2</v>
      </c>
      <c r="F73" s="12"/>
      <c r="G73" s="8" t="s">
        <v>227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63</v>
      </c>
      <c r="E74" s="15">
        <f>E72*E73</f>
        <v>0</v>
      </c>
      <c r="G74" s="8" t="s">
        <v>64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61</v>
      </c>
      <c r="E76" s="59">
        <f>E149</f>
        <v>0</v>
      </c>
      <c r="G76" s="8" t="s">
        <v>62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32</v>
      </c>
      <c r="C77" s="61"/>
      <c r="D77" s="38"/>
      <c r="E77" s="62">
        <v>0</v>
      </c>
      <c r="F77" s="27"/>
      <c r="G77" s="8" t="s">
        <v>65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66</v>
      </c>
      <c r="E78" s="15">
        <f>E76*E77</f>
        <v>0</v>
      </c>
      <c r="G78" s="8" t="s">
        <v>67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68</v>
      </c>
      <c r="E80" s="17">
        <f>E70+E74+E78</f>
        <v>0</v>
      </c>
      <c r="G80" s="8" t="s">
        <v>69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70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71</v>
      </c>
      <c r="C83" s="35"/>
      <c r="D83" s="35"/>
      <c r="E83" s="56">
        <f>E151</f>
        <v>0</v>
      </c>
      <c r="G83" s="8" t="s">
        <v>72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28</v>
      </c>
      <c r="C84" s="35"/>
      <c r="D84" s="35"/>
      <c r="E84" s="63">
        <v>9.5313887943714093E-2</v>
      </c>
      <c r="F84" s="12"/>
      <c r="G84" s="8" t="s">
        <v>227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73</v>
      </c>
      <c r="C85" s="35"/>
      <c r="D85" s="35"/>
      <c r="E85" s="23">
        <f>E83*E84</f>
        <v>0</v>
      </c>
      <c r="G85" s="8" t="s">
        <v>74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71</v>
      </c>
      <c r="C87" s="35"/>
      <c r="D87" s="35"/>
      <c r="E87" s="56">
        <f>E151</f>
        <v>0</v>
      </c>
      <c r="G87" s="8" t="s">
        <v>72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32</v>
      </c>
      <c r="C88" s="35"/>
      <c r="D88" s="35"/>
      <c r="E88" s="63">
        <v>3.9113461135350091E-3</v>
      </c>
      <c r="F88" s="27"/>
      <c r="G88" s="8" t="s">
        <v>224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75</v>
      </c>
      <c r="C89" s="35"/>
      <c r="D89" s="35"/>
      <c r="E89" s="23">
        <f>E87*E88</f>
        <v>0</v>
      </c>
      <c r="G89" s="8" t="s">
        <v>76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77</v>
      </c>
      <c r="C91" s="35"/>
      <c r="D91" s="35"/>
      <c r="E91" s="17">
        <f>E85+E89</f>
        <v>0</v>
      </c>
      <c r="G91" s="8" t="s">
        <v>78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79</v>
      </c>
      <c r="E93" s="24">
        <f>E67+E80+E91</f>
        <v>0</v>
      </c>
      <c r="G93" s="8" t="s">
        <v>80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81</v>
      </c>
      <c r="C95" s="35"/>
      <c r="D95" s="35"/>
      <c r="E95" s="287">
        <f>+E41+E93</f>
        <v>986760.11356483237</v>
      </c>
      <c r="F95" s="12" t="s">
        <v>16</v>
      </c>
      <c r="G95" s="8" t="s">
        <v>82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16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46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83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84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16" t="s">
        <v>152</v>
      </c>
      <c r="C104" s="315"/>
      <c r="D104" s="315"/>
      <c r="E104" s="315"/>
      <c r="F104" s="315"/>
      <c r="G104" s="315"/>
    </row>
    <row r="105" spans="1:8" x14ac:dyDescent="0.25">
      <c r="A105" s="8"/>
      <c r="B105" s="316" t="s">
        <v>13</v>
      </c>
      <c r="C105" s="315"/>
      <c r="D105" s="315"/>
      <c r="E105" s="315"/>
      <c r="F105" s="315"/>
      <c r="G105" s="315"/>
    </row>
    <row r="106" spans="1:8" ht="17.25" x14ac:dyDescent="0.25">
      <c r="A106" s="8" t="s">
        <v>12</v>
      </c>
      <c r="B106" s="316" t="s">
        <v>153</v>
      </c>
      <c r="C106" s="317"/>
      <c r="D106" s="317"/>
      <c r="E106" s="317"/>
      <c r="F106" s="317"/>
      <c r="G106" s="317"/>
      <c r="H106" s="8" t="s">
        <v>12</v>
      </c>
    </row>
    <row r="107" spans="1:8" x14ac:dyDescent="0.25">
      <c r="A107" s="8"/>
      <c r="B107" s="312" t="str">
        <f>B6</f>
        <v>For the Base Period &amp; True-Up Period Ending December 31, 2021</v>
      </c>
      <c r="C107" s="313"/>
      <c r="D107" s="313"/>
      <c r="E107" s="313"/>
      <c r="F107" s="313"/>
      <c r="G107" s="313"/>
    </row>
    <row r="108" spans="1:8" x14ac:dyDescent="0.25">
      <c r="A108" s="8"/>
      <c r="B108" s="314" t="s">
        <v>1</v>
      </c>
      <c r="C108" s="315"/>
      <c r="D108" s="315"/>
      <c r="E108" s="315"/>
      <c r="F108" s="315"/>
      <c r="G108" s="315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2</v>
      </c>
      <c r="E110" s="30"/>
      <c r="G110" s="8"/>
      <c r="H110" s="8" t="s">
        <v>2</v>
      </c>
    </row>
    <row r="111" spans="1:8" x14ac:dyDescent="0.25">
      <c r="A111" s="8" t="s">
        <v>6</v>
      </c>
      <c r="B111" s="27" t="s">
        <v>12</v>
      </c>
      <c r="E111" s="31" t="s">
        <v>4</v>
      </c>
      <c r="G111" s="32" t="s">
        <v>5</v>
      </c>
      <c r="H111" s="8" t="s">
        <v>6</v>
      </c>
    </row>
    <row r="112" spans="1:8" x14ac:dyDescent="0.25">
      <c r="A112" s="33"/>
      <c r="B112" s="14" t="s">
        <v>157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85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86</v>
      </c>
      <c r="C114" s="65"/>
      <c r="D114" s="65"/>
      <c r="E114" s="245">
        <f>E182</f>
        <v>5547094.6691546161</v>
      </c>
      <c r="F114" s="12"/>
      <c r="G114" s="8" t="s">
        <v>158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87</v>
      </c>
      <c r="C115" s="65"/>
      <c r="D115" s="65"/>
      <c r="E115" s="246">
        <f>E183</f>
        <v>5093</v>
      </c>
      <c r="F115" s="12"/>
      <c r="G115" s="8" t="s">
        <v>159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88</v>
      </c>
      <c r="C116" s="65"/>
      <c r="D116" s="65"/>
      <c r="E116" s="246">
        <f>E184</f>
        <v>59555</v>
      </c>
      <c r="F116" s="12"/>
      <c r="G116" s="8" t="s">
        <v>160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89</v>
      </c>
      <c r="C117" s="65"/>
      <c r="D117" s="65"/>
      <c r="E117" s="247">
        <f>E185</f>
        <v>149365</v>
      </c>
      <c r="F117" s="12"/>
      <c r="G117" s="8" t="s">
        <v>161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90</v>
      </c>
      <c r="C118" s="8"/>
      <c r="D118" s="8"/>
      <c r="E118" s="238">
        <f>SUM(E114:E117)</f>
        <v>5761107.6691546161</v>
      </c>
      <c r="F118" s="12"/>
      <c r="G118" s="8" t="s">
        <v>91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92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162</v>
      </c>
      <c r="C121" s="8"/>
      <c r="D121" s="8"/>
      <c r="E121" s="67">
        <v>0</v>
      </c>
      <c r="F121" s="43"/>
      <c r="G121" s="8" t="s">
        <v>93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94</v>
      </c>
      <c r="C122" s="8"/>
      <c r="D122" s="8"/>
      <c r="E122" s="68">
        <v>0</v>
      </c>
      <c r="G122" s="8" t="s">
        <v>95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96</v>
      </c>
      <c r="C123" s="8"/>
      <c r="D123" s="8"/>
      <c r="E123" s="69">
        <f>SUM(E121:E122)</f>
        <v>0</v>
      </c>
      <c r="F123" s="43"/>
      <c r="G123" s="8" t="s">
        <v>97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98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99</v>
      </c>
      <c r="C126" s="8"/>
      <c r="D126" s="8"/>
      <c r="E126" s="248">
        <v>-993518.29794242466</v>
      </c>
      <c r="F126" s="12"/>
      <c r="G126" s="8" t="s">
        <v>219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100</v>
      </c>
      <c r="C127" s="8"/>
      <c r="D127" s="8"/>
      <c r="E127" s="53">
        <v>0</v>
      </c>
      <c r="G127" s="8" t="s">
        <v>101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102</v>
      </c>
      <c r="C128" s="8"/>
      <c r="D128" s="8"/>
      <c r="E128" s="238">
        <f>SUM(E126:E127)</f>
        <v>-993518.29794242466</v>
      </c>
      <c r="F128" s="12"/>
      <c r="G128" s="8" t="s">
        <v>103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104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163</v>
      </c>
      <c r="C131" s="8"/>
      <c r="D131" s="8"/>
      <c r="E131" s="245">
        <v>48571.669458538468</v>
      </c>
      <c r="F131" s="12"/>
      <c r="G131" s="8" t="s">
        <v>228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105</v>
      </c>
      <c r="C132" s="8"/>
      <c r="D132" s="8"/>
      <c r="E132" s="246">
        <v>41902.961994846148</v>
      </c>
      <c r="F132" s="12"/>
      <c r="G132" s="8" t="s">
        <v>229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106</v>
      </c>
      <c r="C133" s="8"/>
      <c r="D133" s="8"/>
      <c r="E133" s="288">
        <v>24887.543158749999</v>
      </c>
      <c r="F133" s="12" t="s">
        <v>16</v>
      </c>
      <c r="G133" s="8" t="s">
        <v>230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164</v>
      </c>
      <c r="E134" s="286">
        <f>SUM(E131:E133)</f>
        <v>115362.17461213461</v>
      </c>
      <c r="F134" s="12" t="s">
        <v>16</v>
      </c>
      <c r="G134" s="8" t="s">
        <v>107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108</v>
      </c>
      <c r="E136" s="72">
        <v>0</v>
      </c>
      <c r="G136" s="8" t="s">
        <v>109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110</v>
      </c>
      <c r="E137" s="58">
        <v>-11021.620822994773</v>
      </c>
      <c r="F137" s="12"/>
      <c r="G137" s="8" t="s">
        <v>111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112</v>
      </c>
      <c r="E139" s="289">
        <f>E136+E134+E128+E123+E118+E137</f>
        <v>4871929.9250013307</v>
      </c>
      <c r="F139" s="12" t="s">
        <v>16</v>
      </c>
      <c r="G139" s="8" t="s">
        <v>113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114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115</v>
      </c>
      <c r="E142" s="59">
        <f>E191</f>
        <v>0</v>
      </c>
      <c r="G142" s="8" t="s">
        <v>116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117</v>
      </c>
      <c r="E143" s="53">
        <v>0</v>
      </c>
      <c r="G143" s="8" t="s">
        <v>118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119</v>
      </c>
      <c r="E144" s="15">
        <f>SUM(E142:E143)</f>
        <v>0</v>
      </c>
      <c r="G144" s="8" t="s">
        <v>120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121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122</v>
      </c>
      <c r="E147" s="59">
        <v>0</v>
      </c>
      <c r="G147" s="8" t="s">
        <v>123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124</v>
      </c>
      <c r="E148" s="54">
        <v>0</v>
      </c>
      <c r="G148" s="8" t="s">
        <v>125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126</v>
      </c>
      <c r="E149" s="15">
        <f>SUM(E147:E148)</f>
        <v>0</v>
      </c>
      <c r="G149" s="8" t="s">
        <v>127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128</v>
      </c>
      <c r="E151" s="59">
        <v>0</v>
      </c>
      <c r="G151" s="8" t="s">
        <v>129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16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83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16" t="s">
        <v>152</v>
      </c>
      <c r="C158" s="315"/>
      <c r="D158" s="315"/>
      <c r="E158" s="315"/>
      <c r="F158" s="315"/>
      <c r="G158" s="315"/>
    </row>
    <row r="159" spans="1:8" x14ac:dyDescent="0.25">
      <c r="A159" s="8" t="s">
        <v>12</v>
      </c>
      <c r="B159" s="316" t="s">
        <v>13</v>
      </c>
      <c r="C159" s="315"/>
      <c r="D159" s="315"/>
      <c r="E159" s="315"/>
      <c r="F159" s="315"/>
      <c r="G159" s="315"/>
    </row>
    <row r="160" spans="1:8" ht="17.25" x14ac:dyDescent="0.25">
      <c r="A160" s="8"/>
      <c r="B160" s="316" t="s">
        <v>153</v>
      </c>
      <c r="C160" s="317"/>
      <c r="D160" s="317"/>
      <c r="E160" s="317"/>
      <c r="F160" s="317"/>
      <c r="G160" s="317"/>
    </row>
    <row r="161" spans="1:10" x14ac:dyDescent="0.25">
      <c r="A161" s="8"/>
      <c r="B161" s="312" t="str">
        <f>B6</f>
        <v>For the Base Period &amp; True-Up Period Ending December 31, 2021</v>
      </c>
      <c r="C161" s="313"/>
      <c r="D161" s="313"/>
      <c r="E161" s="313"/>
      <c r="F161" s="313"/>
      <c r="G161" s="313"/>
    </row>
    <row r="162" spans="1:10" x14ac:dyDescent="0.25">
      <c r="A162" s="8"/>
      <c r="B162" s="314" t="s">
        <v>1</v>
      </c>
      <c r="C162" s="315"/>
      <c r="D162" s="315"/>
      <c r="E162" s="315"/>
      <c r="F162" s="315"/>
      <c r="G162" s="315"/>
    </row>
    <row r="163" spans="1:10" x14ac:dyDescent="0.25">
      <c r="A163" s="8"/>
      <c r="B163" s="73"/>
    </row>
    <row r="164" spans="1:10" x14ac:dyDescent="0.25">
      <c r="A164" s="8" t="s">
        <v>2</v>
      </c>
      <c r="E164" s="30"/>
      <c r="G164" s="8"/>
      <c r="H164" s="8" t="s">
        <v>2</v>
      </c>
    </row>
    <row r="165" spans="1:10" x14ac:dyDescent="0.25">
      <c r="A165" s="8" t="s">
        <v>6</v>
      </c>
      <c r="B165" s="27" t="s">
        <v>12</v>
      </c>
      <c r="E165" s="31" t="s">
        <v>4</v>
      </c>
      <c r="G165" s="32" t="s">
        <v>5</v>
      </c>
      <c r="H165" s="8" t="s">
        <v>6</v>
      </c>
    </row>
    <row r="166" spans="1:10" x14ac:dyDescent="0.25">
      <c r="A166" s="33"/>
      <c r="B166" s="14" t="s">
        <v>165</v>
      </c>
      <c r="E166" s="30"/>
      <c r="G166" s="8"/>
      <c r="H166" s="33"/>
    </row>
    <row r="167" spans="1:10" x14ac:dyDescent="0.25">
      <c r="A167" s="8">
        <v>1</v>
      </c>
      <c r="B167" s="66" t="s">
        <v>130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86</v>
      </c>
      <c r="E168" s="51">
        <v>7091163.5102730775</v>
      </c>
      <c r="F168" s="12"/>
      <c r="G168" s="8" t="s">
        <v>213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166</v>
      </c>
      <c r="E169" s="75">
        <v>38763</v>
      </c>
      <c r="F169" s="12"/>
      <c r="G169" s="8" t="s">
        <v>214</v>
      </c>
      <c r="H169" s="8">
        <f t="shared" si="7"/>
        <v>3</v>
      </c>
      <c r="I169" s="76"/>
    </row>
    <row r="170" spans="1:10" x14ac:dyDescent="0.25">
      <c r="A170" s="8">
        <f t="shared" si="6"/>
        <v>4</v>
      </c>
      <c r="B170" s="10" t="s">
        <v>88</v>
      </c>
      <c r="E170" s="75">
        <v>101746</v>
      </c>
      <c r="F170" s="12"/>
      <c r="G170" s="8" t="s">
        <v>211</v>
      </c>
      <c r="H170" s="8">
        <f t="shared" si="7"/>
        <v>4</v>
      </c>
      <c r="J170" s="77"/>
    </row>
    <row r="171" spans="1:10" x14ac:dyDescent="0.25">
      <c r="A171" s="8">
        <f t="shared" si="6"/>
        <v>5</v>
      </c>
      <c r="B171" s="10" t="s">
        <v>89</v>
      </c>
      <c r="C171" s="8"/>
      <c r="D171" s="8"/>
      <c r="E171" s="47">
        <v>276201</v>
      </c>
      <c r="F171" s="12"/>
      <c r="G171" s="8" t="s">
        <v>212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131</v>
      </c>
      <c r="E172" s="238">
        <f>SUM(E168:E171)</f>
        <v>7507873.5102730775</v>
      </c>
      <c r="F172" s="12"/>
      <c r="G172" s="8" t="s">
        <v>91</v>
      </c>
      <c r="H172" s="8">
        <f t="shared" si="7"/>
        <v>6</v>
      </c>
      <c r="I172" s="76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132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133</v>
      </c>
      <c r="E175" s="51">
        <v>1544068.8411184615</v>
      </c>
      <c r="F175" s="12"/>
      <c r="G175" s="8" t="s">
        <v>215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134</v>
      </c>
      <c r="E176" s="75">
        <v>33670</v>
      </c>
      <c r="F176" s="43"/>
      <c r="G176" s="8" t="s">
        <v>216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135</v>
      </c>
      <c r="E177" s="75">
        <v>42191</v>
      </c>
      <c r="F177" s="12"/>
      <c r="G177" s="8" t="s">
        <v>217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136</v>
      </c>
      <c r="E178" s="47">
        <v>126836</v>
      </c>
      <c r="F178" s="12"/>
      <c r="G178" s="8" t="s">
        <v>218</v>
      </c>
      <c r="H178" s="8">
        <f t="shared" si="7"/>
        <v>12</v>
      </c>
    </row>
    <row r="179" spans="1:8" x14ac:dyDescent="0.25">
      <c r="A179" s="8">
        <f t="shared" si="6"/>
        <v>13</v>
      </c>
      <c r="B179" s="76" t="s">
        <v>137</v>
      </c>
      <c r="C179" s="76"/>
      <c r="D179" s="76"/>
      <c r="E179" s="239">
        <f>SUM(E175:E178)</f>
        <v>1746765.8411184615</v>
      </c>
      <c r="F179" s="12"/>
      <c r="G179" s="8" t="s">
        <v>138</v>
      </c>
      <c r="H179" s="8">
        <f t="shared" si="7"/>
        <v>13</v>
      </c>
    </row>
    <row r="180" spans="1:8" x14ac:dyDescent="0.25">
      <c r="A180" s="8">
        <f t="shared" si="6"/>
        <v>14</v>
      </c>
      <c r="B180" s="76"/>
      <c r="C180" s="76"/>
      <c r="D180" s="76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85</v>
      </c>
      <c r="C181" s="76"/>
      <c r="D181" s="76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86</v>
      </c>
      <c r="E182" s="18">
        <f>+E168-E175</f>
        <v>5547094.6691546161</v>
      </c>
      <c r="F182" s="12"/>
      <c r="G182" s="8" t="s">
        <v>139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87</v>
      </c>
      <c r="E183" s="46">
        <f>+E169-E176</f>
        <v>5093</v>
      </c>
      <c r="F183" s="12"/>
      <c r="G183" s="8" t="s">
        <v>140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88</v>
      </c>
      <c r="E184" s="46">
        <f>+E170-E177</f>
        <v>59555</v>
      </c>
      <c r="F184" s="12"/>
      <c r="G184" s="8" t="s">
        <v>141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89</v>
      </c>
      <c r="E185" s="240">
        <f>+E171-E178</f>
        <v>149365</v>
      </c>
      <c r="F185" s="12"/>
      <c r="G185" s="8" t="s">
        <v>142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90</v>
      </c>
      <c r="E186" s="241">
        <f>SUM(E182:E185)</f>
        <v>5761107.6691546161</v>
      </c>
      <c r="F186" s="12"/>
      <c r="G186" s="8" t="s">
        <v>143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144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145</v>
      </c>
      <c r="E189" s="59">
        <v>0</v>
      </c>
      <c r="G189" s="8" t="s">
        <v>146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147</v>
      </c>
      <c r="E190" s="54">
        <v>0</v>
      </c>
      <c r="G190" s="8" t="s">
        <v>148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149</v>
      </c>
      <c r="E191" s="78">
        <f>E189-E190</f>
        <v>0</v>
      </c>
      <c r="G191" s="8" t="s">
        <v>150</v>
      </c>
      <c r="H191" s="8">
        <f t="shared" si="7"/>
        <v>25</v>
      </c>
    </row>
    <row r="192" spans="1:8" ht="16.5" thickTop="1" x14ac:dyDescent="0.25">
      <c r="A192" s="8"/>
      <c r="B192" s="10"/>
      <c r="E192" s="16"/>
      <c r="G192" s="8"/>
    </row>
    <row r="193" spans="1:10" x14ac:dyDescent="0.25">
      <c r="A193" s="8"/>
      <c r="B193" s="10"/>
      <c r="E193" s="16"/>
      <c r="G193" s="8"/>
    </row>
    <row r="194" spans="1:10" s="8" customFormat="1" ht="18.75" x14ac:dyDescent="0.25">
      <c r="A194" s="13">
        <v>1</v>
      </c>
      <c r="B194" s="7" t="s">
        <v>151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9"/>
      <c r="F196" s="7"/>
      <c r="G196" s="7"/>
      <c r="I196" s="7"/>
      <c r="J196" s="7"/>
    </row>
  </sheetData>
  <mergeCells count="20">
    <mergeCell ref="B161:G161"/>
    <mergeCell ref="B162:G162"/>
    <mergeCell ref="B106:G106"/>
    <mergeCell ref="B107:G107"/>
    <mergeCell ref="B108:G108"/>
    <mergeCell ref="B158:G158"/>
    <mergeCell ref="B159:G159"/>
    <mergeCell ref="B160:G160"/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2DA9-8B5A-4DF1-B4A3-BC24DCBC19D2}">
  <dimension ref="A2:L268"/>
  <sheetViews>
    <sheetView view="pageBreakPreview" zoomScale="60" zoomScaleNormal="80" workbookViewId="0">
      <selection activeCell="U45" sqref="U45"/>
    </sheetView>
  </sheetViews>
  <sheetFormatPr defaultColWidth="8.85546875" defaultRowHeight="15.75" x14ac:dyDescent="0.25"/>
  <cols>
    <col min="1" max="1" width="5.140625" style="80" customWidth="1"/>
    <col min="2" max="2" width="55.42578125" style="162" customWidth="1"/>
    <col min="3" max="5" width="15.5703125" style="162" customWidth="1"/>
    <col min="6" max="6" width="1.5703125" style="162" customWidth="1"/>
    <col min="7" max="7" width="16.85546875" style="162" customWidth="1"/>
    <col min="8" max="8" width="1.5703125" style="162" customWidth="1"/>
    <col min="9" max="9" width="45.42578125" style="194" customWidth="1"/>
    <col min="10" max="10" width="5.140625" style="162" customWidth="1"/>
    <col min="11" max="11" width="16.140625" style="162" bestFit="1" customWidth="1"/>
    <col min="12" max="12" width="10.42578125" style="162" bestFit="1" customWidth="1"/>
    <col min="13" max="16384" width="8.85546875" style="162"/>
  </cols>
  <sheetData>
    <row r="2" spans="1:10" x14ac:dyDescent="0.25">
      <c r="B2" s="322" t="s">
        <v>152</v>
      </c>
      <c r="C2" s="322"/>
      <c r="D2" s="322"/>
      <c r="E2" s="322"/>
      <c r="F2" s="322"/>
      <c r="G2" s="322"/>
      <c r="H2" s="322"/>
      <c r="I2" s="322"/>
      <c r="J2" s="80"/>
    </row>
    <row r="3" spans="1:10" x14ac:dyDescent="0.25">
      <c r="B3" s="322" t="s">
        <v>244</v>
      </c>
      <c r="C3" s="322"/>
      <c r="D3" s="322"/>
      <c r="E3" s="322"/>
      <c r="F3" s="322"/>
      <c r="G3" s="322"/>
      <c r="H3" s="322"/>
      <c r="I3" s="322"/>
      <c r="J3" s="80"/>
    </row>
    <row r="4" spans="1:10" x14ac:dyDescent="0.25">
      <c r="B4" s="322" t="s">
        <v>245</v>
      </c>
      <c r="C4" s="322"/>
      <c r="D4" s="322"/>
      <c r="E4" s="322"/>
      <c r="F4" s="322"/>
      <c r="G4" s="322"/>
      <c r="H4" s="322"/>
      <c r="I4" s="322"/>
      <c r="J4" s="80"/>
    </row>
    <row r="5" spans="1:10" x14ac:dyDescent="0.25">
      <c r="B5" s="319" t="s">
        <v>246</v>
      </c>
      <c r="C5" s="319"/>
      <c r="D5" s="319"/>
      <c r="E5" s="319"/>
      <c r="F5" s="319"/>
      <c r="G5" s="319"/>
      <c r="H5" s="319"/>
      <c r="I5" s="319"/>
      <c r="J5" s="80"/>
    </row>
    <row r="6" spans="1:10" x14ac:dyDescent="0.25">
      <c r="B6" s="320" t="s">
        <v>1</v>
      </c>
      <c r="C6" s="321"/>
      <c r="D6" s="321"/>
      <c r="E6" s="321"/>
      <c r="F6" s="321"/>
      <c r="G6" s="321"/>
      <c r="H6" s="321"/>
      <c r="I6" s="321"/>
      <c r="J6" s="80"/>
    </row>
    <row r="7" spans="1:10" x14ac:dyDescent="0.25">
      <c r="B7" s="80"/>
      <c r="C7" s="80"/>
      <c r="D7" s="80"/>
      <c r="E7" s="80"/>
      <c r="F7" s="80"/>
      <c r="G7" s="80"/>
      <c r="H7" s="80"/>
      <c r="I7" s="164"/>
      <c r="J7" s="80"/>
    </row>
    <row r="8" spans="1:10" x14ac:dyDescent="0.25">
      <c r="A8" s="80" t="s">
        <v>2</v>
      </c>
      <c r="B8" s="87"/>
      <c r="C8" s="87"/>
      <c r="D8" s="87"/>
      <c r="E8" s="80" t="s">
        <v>247</v>
      </c>
      <c r="F8" s="87"/>
      <c r="G8" s="87"/>
      <c r="H8" s="87"/>
      <c r="I8" s="164"/>
      <c r="J8" s="80" t="s">
        <v>2</v>
      </c>
    </row>
    <row r="9" spans="1:10" x14ac:dyDescent="0.25">
      <c r="A9" s="80" t="s">
        <v>6</v>
      </c>
      <c r="B9" s="80"/>
      <c r="C9" s="80"/>
      <c r="D9" s="80"/>
      <c r="E9" s="82" t="s">
        <v>248</v>
      </c>
      <c r="F9" s="80"/>
      <c r="G9" s="165" t="s">
        <v>4</v>
      </c>
      <c r="H9" s="87"/>
      <c r="I9" s="166" t="s">
        <v>5</v>
      </c>
      <c r="J9" s="80" t="s">
        <v>6</v>
      </c>
    </row>
    <row r="10" spans="1:10" x14ac:dyDescent="0.25">
      <c r="B10" s="80"/>
      <c r="C10" s="80"/>
      <c r="D10" s="80"/>
      <c r="E10" s="80"/>
      <c r="F10" s="80"/>
      <c r="G10" s="80"/>
      <c r="H10" s="80"/>
      <c r="I10" s="164"/>
      <c r="J10" s="80"/>
    </row>
    <row r="11" spans="1:10" x14ac:dyDescent="0.25">
      <c r="A11" s="80">
        <v>1</v>
      </c>
      <c r="B11" s="167" t="s">
        <v>249</v>
      </c>
      <c r="I11" s="164"/>
      <c r="J11" s="80">
        <f>A11</f>
        <v>1</v>
      </c>
    </row>
    <row r="12" spans="1:10" x14ac:dyDescent="0.25">
      <c r="A12" s="80">
        <f>A11+1</f>
        <v>2</v>
      </c>
      <c r="B12" s="162" t="s">
        <v>250</v>
      </c>
      <c r="E12" s="80" t="s">
        <v>251</v>
      </c>
      <c r="G12" s="168">
        <v>6417859</v>
      </c>
      <c r="H12" s="87"/>
      <c r="I12" s="169"/>
      <c r="J12" s="80">
        <f>J11+1</f>
        <v>2</v>
      </c>
    </row>
    <row r="13" spans="1:10" x14ac:dyDescent="0.25">
      <c r="A13" s="80">
        <f t="shared" ref="A13:A52" si="0">A12+1</f>
        <v>3</v>
      </c>
      <c r="B13" s="162" t="s">
        <v>252</v>
      </c>
      <c r="E13" s="80" t="s">
        <v>253</v>
      </c>
      <c r="G13" s="170">
        <v>0</v>
      </c>
      <c r="H13" s="87"/>
      <c r="I13" s="169"/>
      <c r="J13" s="80">
        <f t="shared" ref="J13:J52" si="1">J12+1</f>
        <v>3</v>
      </c>
    </row>
    <row r="14" spans="1:10" x14ac:dyDescent="0.25">
      <c r="A14" s="80">
        <f t="shared" si="0"/>
        <v>4</v>
      </c>
      <c r="B14" s="162" t="s">
        <v>254</v>
      </c>
      <c r="E14" s="80" t="s">
        <v>255</v>
      </c>
      <c r="G14" s="170">
        <v>0</v>
      </c>
      <c r="H14" s="87"/>
      <c r="I14" s="169"/>
      <c r="J14" s="80">
        <f t="shared" si="1"/>
        <v>4</v>
      </c>
    </row>
    <row r="15" spans="1:10" x14ac:dyDescent="0.25">
      <c r="A15" s="80">
        <f t="shared" si="0"/>
        <v>5</v>
      </c>
      <c r="B15" s="162" t="s">
        <v>256</v>
      </c>
      <c r="E15" s="80" t="s">
        <v>257</v>
      </c>
      <c r="G15" s="170">
        <v>0</v>
      </c>
      <c r="H15" s="87"/>
      <c r="I15" s="169"/>
      <c r="J15" s="80">
        <f t="shared" si="1"/>
        <v>5</v>
      </c>
    </row>
    <row r="16" spans="1:10" x14ac:dyDescent="0.25">
      <c r="A16" s="80">
        <f t="shared" si="0"/>
        <v>6</v>
      </c>
      <c r="B16" s="162" t="s">
        <v>258</v>
      </c>
      <c r="E16" s="80" t="s">
        <v>259</v>
      </c>
      <c r="G16" s="171">
        <v>-16893.71</v>
      </c>
      <c r="H16" s="87"/>
      <c r="I16" s="169"/>
      <c r="J16" s="80">
        <f t="shared" si="1"/>
        <v>6</v>
      </c>
    </row>
    <row r="17" spans="1:11" x14ac:dyDescent="0.25">
      <c r="A17" s="80">
        <f t="shared" si="0"/>
        <v>7</v>
      </c>
      <c r="B17" s="162" t="s">
        <v>260</v>
      </c>
      <c r="G17" s="172">
        <f>SUM(G12:G16)</f>
        <v>6400965.29</v>
      </c>
      <c r="H17" s="173"/>
      <c r="I17" s="164" t="s">
        <v>261</v>
      </c>
      <c r="J17" s="80">
        <f t="shared" si="1"/>
        <v>7</v>
      </c>
      <c r="K17" s="173"/>
    </row>
    <row r="18" spans="1:11" x14ac:dyDescent="0.25">
      <c r="A18" s="80">
        <f t="shared" si="0"/>
        <v>8</v>
      </c>
      <c r="I18" s="164"/>
      <c r="J18" s="80">
        <f t="shared" si="1"/>
        <v>8</v>
      </c>
    </row>
    <row r="19" spans="1:11" x14ac:dyDescent="0.25">
      <c r="A19" s="80">
        <f t="shared" si="0"/>
        <v>9</v>
      </c>
      <c r="B19" s="167" t="s">
        <v>262</v>
      </c>
      <c r="G19" s="174"/>
      <c r="H19" s="174"/>
      <c r="I19" s="164"/>
      <c r="J19" s="80">
        <f t="shared" si="1"/>
        <v>9</v>
      </c>
    </row>
    <row r="20" spans="1:11" x14ac:dyDescent="0.25">
      <c r="A20" s="80">
        <f t="shared" si="0"/>
        <v>10</v>
      </c>
      <c r="B20" s="162" t="s">
        <v>263</v>
      </c>
      <c r="E20" s="80" t="s">
        <v>264</v>
      </c>
      <c r="G20" s="168">
        <v>237653.59599999999</v>
      </c>
      <c r="H20" s="87"/>
      <c r="I20" s="169"/>
      <c r="J20" s="80">
        <f t="shared" si="1"/>
        <v>10</v>
      </c>
    </row>
    <row r="21" spans="1:11" x14ac:dyDescent="0.25">
      <c r="A21" s="80">
        <f t="shared" si="0"/>
        <v>11</v>
      </c>
      <c r="B21" s="162" t="s">
        <v>265</v>
      </c>
      <c r="E21" s="80" t="s">
        <v>266</v>
      </c>
      <c r="G21" s="170">
        <v>4408.152</v>
      </c>
      <c r="H21" s="87"/>
      <c r="I21" s="169"/>
      <c r="J21" s="80">
        <f t="shared" si="1"/>
        <v>11</v>
      </c>
    </row>
    <row r="22" spans="1:11" x14ac:dyDescent="0.25">
      <c r="A22" s="80">
        <f t="shared" si="0"/>
        <v>12</v>
      </c>
      <c r="B22" s="162" t="s">
        <v>267</v>
      </c>
      <c r="E22" s="80" t="s">
        <v>268</v>
      </c>
      <c r="G22" s="170">
        <v>1275.181</v>
      </c>
      <c r="H22" s="87"/>
      <c r="I22" s="169"/>
      <c r="J22" s="80">
        <f t="shared" si="1"/>
        <v>12</v>
      </c>
    </row>
    <row r="23" spans="1:11" x14ac:dyDescent="0.25">
      <c r="A23" s="80">
        <f t="shared" si="0"/>
        <v>13</v>
      </c>
      <c r="B23" s="162" t="s">
        <v>269</v>
      </c>
      <c r="E23" s="80" t="s">
        <v>270</v>
      </c>
      <c r="G23" s="170">
        <v>0</v>
      </c>
      <c r="H23" s="87"/>
      <c r="I23" s="169"/>
      <c r="J23" s="80">
        <f t="shared" si="1"/>
        <v>13</v>
      </c>
    </row>
    <row r="24" spans="1:11" x14ac:dyDescent="0.25">
      <c r="A24" s="80">
        <f t="shared" si="0"/>
        <v>14</v>
      </c>
      <c r="B24" s="162" t="s">
        <v>271</v>
      </c>
      <c r="E24" s="80" t="s">
        <v>272</v>
      </c>
      <c r="G24" s="171">
        <v>0</v>
      </c>
      <c r="H24" s="87"/>
      <c r="I24" s="169"/>
      <c r="J24" s="80">
        <f t="shared" si="1"/>
        <v>14</v>
      </c>
    </row>
    <row r="25" spans="1:11" x14ac:dyDescent="0.25">
      <c r="A25" s="80">
        <f t="shared" si="0"/>
        <v>15</v>
      </c>
      <c r="B25" s="162" t="s">
        <v>273</v>
      </c>
      <c r="G25" s="175">
        <f>SUM(G20:G24)</f>
        <v>243336.929</v>
      </c>
      <c r="H25" s="176"/>
      <c r="I25" s="164" t="s">
        <v>274</v>
      </c>
      <c r="J25" s="80">
        <f t="shared" si="1"/>
        <v>15</v>
      </c>
    </row>
    <row r="26" spans="1:11" x14ac:dyDescent="0.25">
      <c r="A26" s="80">
        <f t="shared" si="0"/>
        <v>16</v>
      </c>
      <c r="I26" s="164"/>
      <c r="J26" s="80">
        <f t="shared" si="1"/>
        <v>16</v>
      </c>
    </row>
    <row r="27" spans="1:11" ht="16.5" thickBot="1" x14ac:dyDescent="0.3">
      <c r="A27" s="80">
        <f t="shared" si="0"/>
        <v>17</v>
      </c>
      <c r="B27" s="167" t="s">
        <v>275</v>
      </c>
      <c r="G27" s="177">
        <f>G25/G17</f>
        <v>3.8015661384722177E-2</v>
      </c>
      <c r="H27" s="178"/>
      <c r="I27" s="164" t="s">
        <v>276</v>
      </c>
      <c r="J27" s="80">
        <f t="shared" si="1"/>
        <v>17</v>
      </c>
    </row>
    <row r="28" spans="1:11" ht="16.5" thickTop="1" x14ac:dyDescent="0.25">
      <c r="A28" s="80">
        <f t="shared" si="0"/>
        <v>18</v>
      </c>
      <c r="I28" s="164"/>
      <c r="J28" s="80">
        <f t="shared" si="1"/>
        <v>18</v>
      </c>
    </row>
    <row r="29" spans="1:11" x14ac:dyDescent="0.25">
      <c r="A29" s="80">
        <f t="shared" si="0"/>
        <v>19</v>
      </c>
      <c r="B29" s="167" t="s">
        <v>277</v>
      </c>
      <c r="I29" s="164"/>
      <c r="J29" s="80">
        <f t="shared" si="1"/>
        <v>19</v>
      </c>
    </row>
    <row r="30" spans="1:11" x14ac:dyDescent="0.25">
      <c r="A30" s="80">
        <f t="shared" si="0"/>
        <v>20</v>
      </c>
      <c r="B30" s="162" t="s">
        <v>278</v>
      </c>
      <c r="E30" s="80" t="s">
        <v>279</v>
      </c>
      <c r="G30" s="168">
        <v>0</v>
      </c>
      <c r="H30" s="87"/>
      <c r="I30" s="169"/>
      <c r="J30" s="80">
        <f t="shared" si="1"/>
        <v>20</v>
      </c>
    </row>
    <row r="31" spans="1:11" x14ac:dyDescent="0.25">
      <c r="A31" s="80">
        <f t="shared" si="0"/>
        <v>21</v>
      </c>
      <c r="B31" s="162" t="s">
        <v>280</v>
      </c>
      <c r="E31" s="80" t="s">
        <v>281</v>
      </c>
      <c r="G31" s="179">
        <v>0</v>
      </c>
      <c r="H31" s="87"/>
      <c r="I31" s="169"/>
      <c r="J31" s="80">
        <f t="shared" si="1"/>
        <v>21</v>
      </c>
    </row>
    <row r="32" spans="1:11" ht="16.5" thickBot="1" x14ac:dyDescent="0.3">
      <c r="A32" s="80">
        <f t="shared" si="0"/>
        <v>22</v>
      </c>
      <c r="B32" s="162" t="s">
        <v>282</v>
      </c>
      <c r="G32" s="177">
        <f>IFERROR((G31/G30),0)</f>
        <v>0</v>
      </c>
      <c r="H32" s="178"/>
      <c r="I32" s="164" t="s">
        <v>283</v>
      </c>
      <c r="J32" s="80">
        <f t="shared" si="1"/>
        <v>22</v>
      </c>
    </row>
    <row r="33" spans="1:11" ht="16.5" thickTop="1" x14ac:dyDescent="0.25">
      <c r="A33" s="80">
        <f t="shared" si="0"/>
        <v>23</v>
      </c>
      <c r="I33" s="164"/>
      <c r="J33" s="80">
        <f t="shared" si="1"/>
        <v>23</v>
      </c>
    </row>
    <row r="34" spans="1:11" x14ac:dyDescent="0.25">
      <c r="A34" s="80">
        <f t="shared" si="0"/>
        <v>24</v>
      </c>
      <c r="B34" s="167" t="s">
        <v>284</v>
      </c>
      <c r="I34" s="164"/>
      <c r="J34" s="80">
        <f t="shared" si="1"/>
        <v>24</v>
      </c>
    </row>
    <row r="35" spans="1:11" x14ac:dyDescent="0.25">
      <c r="A35" s="80">
        <f t="shared" si="0"/>
        <v>25</v>
      </c>
      <c r="B35" s="162" t="s">
        <v>285</v>
      </c>
      <c r="E35" s="80" t="s">
        <v>286</v>
      </c>
      <c r="G35" s="168">
        <v>8248583.6459999997</v>
      </c>
      <c r="H35" s="87"/>
      <c r="I35" s="169"/>
      <c r="J35" s="80">
        <f t="shared" si="1"/>
        <v>25</v>
      </c>
      <c r="K35" s="173"/>
    </row>
    <row r="36" spans="1:11" x14ac:dyDescent="0.25">
      <c r="A36" s="80">
        <f t="shared" si="0"/>
        <v>26</v>
      </c>
      <c r="B36" s="162" t="s">
        <v>287</v>
      </c>
      <c r="E36" s="80" t="s">
        <v>279</v>
      </c>
      <c r="G36" s="180">
        <f>-G30</f>
        <v>0</v>
      </c>
      <c r="H36" s="180"/>
      <c r="I36" s="164" t="s">
        <v>288</v>
      </c>
      <c r="J36" s="80">
        <f t="shared" si="1"/>
        <v>26</v>
      </c>
    </row>
    <row r="37" spans="1:11" x14ac:dyDescent="0.25">
      <c r="A37" s="80">
        <f t="shared" si="0"/>
        <v>27</v>
      </c>
      <c r="B37" s="162" t="s">
        <v>289</v>
      </c>
      <c r="E37" s="80" t="s">
        <v>290</v>
      </c>
      <c r="G37" s="170">
        <v>0</v>
      </c>
      <c r="H37" s="87"/>
      <c r="I37" s="169"/>
      <c r="J37" s="80">
        <f t="shared" si="1"/>
        <v>27</v>
      </c>
    </row>
    <row r="38" spans="1:11" x14ac:dyDescent="0.25">
      <c r="A38" s="80">
        <f t="shared" si="0"/>
        <v>28</v>
      </c>
      <c r="B38" s="162" t="s">
        <v>291</v>
      </c>
      <c r="E38" s="80" t="s">
        <v>292</v>
      </c>
      <c r="G38" s="170">
        <v>10117.040000000001</v>
      </c>
      <c r="H38" s="87"/>
      <c r="I38" s="169"/>
      <c r="J38" s="80">
        <f t="shared" si="1"/>
        <v>28</v>
      </c>
    </row>
    <row r="39" spans="1:11" ht="16.5" thickBot="1" x14ac:dyDescent="0.3">
      <c r="A39" s="80">
        <f t="shared" si="0"/>
        <v>29</v>
      </c>
      <c r="B39" s="162" t="s">
        <v>293</v>
      </c>
      <c r="G39" s="181">
        <f>SUM(G35:G38)</f>
        <v>8258700.6859999998</v>
      </c>
      <c r="H39" s="173"/>
      <c r="I39" s="164" t="s">
        <v>294</v>
      </c>
      <c r="J39" s="80">
        <f t="shared" si="1"/>
        <v>29</v>
      </c>
      <c r="K39" s="173"/>
    </row>
    <row r="40" spans="1:11" ht="17.25" thickTop="1" thickBot="1" x14ac:dyDescent="0.3">
      <c r="A40" s="182">
        <f t="shared" si="0"/>
        <v>30</v>
      </c>
      <c r="B40" s="183"/>
      <c r="C40" s="183"/>
      <c r="D40" s="183"/>
      <c r="E40" s="183"/>
      <c r="F40" s="183"/>
      <c r="G40" s="183"/>
      <c r="H40" s="183"/>
      <c r="I40" s="184"/>
      <c r="J40" s="182">
        <f t="shared" si="1"/>
        <v>30</v>
      </c>
      <c r="K40" s="173"/>
    </row>
    <row r="41" spans="1:11" x14ac:dyDescent="0.25">
      <c r="A41" s="80">
        <f>A40+1</f>
        <v>31</v>
      </c>
      <c r="I41" s="164"/>
      <c r="J41" s="80">
        <f>J40+1</f>
        <v>31</v>
      </c>
    </row>
    <row r="42" spans="1:11" ht="16.5" thickBot="1" x14ac:dyDescent="0.3">
      <c r="A42" s="80">
        <f>A41+1</f>
        <v>32</v>
      </c>
      <c r="B42" s="167" t="s">
        <v>295</v>
      </c>
      <c r="G42" s="185">
        <v>0.10100000000000001</v>
      </c>
      <c r="H42" s="87"/>
      <c r="I42" s="80" t="s">
        <v>296</v>
      </c>
      <c r="J42" s="80">
        <f>J41+1</f>
        <v>32</v>
      </c>
    </row>
    <row r="43" spans="1:11" ht="16.5" thickTop="1" x14ac:dyDescent="0.25">
      <c r="A43" s="80">
        <f t="shared" si="0"/>
        <v>33</v>
      </c>
      <c r="C43" s="84" t="s">
        <v>297</v>
      </c>
      <c r="D43" s="84" t="s">
        <v>298</v>
      </c>
      <c r="E43" s="84" t="s">
        <v>299</v>
      </c>
      <c r="F43" s="84"/>
      <c r="G43" s="84" t="s">
        <v>300</v>
      </c>
      <c r="H43" s="84"/>
      <c r="I43" s="164"/>
      <c r="J43" s="80">
        <f t="shared" si="1"/>
        <v>33</v>
      </c>
    </row>
    <row r="44" spans="1:11" x14ac:dyDescent="0.25">
      <c r="A44" s="80">
        <f t="shared" si="0"/>
        <v>34</v>
      </c>
      <c r="D44" s="80" t="s">
        <v>301</v>
      </c>
      <c r="E44" s="80" t="s">
        <v>302</v>
      </c>
      <c r="F44" s="80"/>
      <c r="G44" s="80" t="s">
        <v>303</v>
      </c>
      <c r="H44" s="80"/>
      <c r="I44" s="164"/>
      <c r="J44" s="80">
        <f t="shared" si="1"/>
        <v>34</v>
      </c>
    </row>
    <row r="45" spans="1:11" ht="18.75" x14ac:dyDescent="0.25">
      <c r="A45" s="80">
        <f t="shared" si="0"/>
        <v>35</v>
      </c>
      <c r="B45" s="167" t="s">
        <v>304</v>
      </c>
      <c r="C45" s="82" t="s">
        <v>305</v>
      </c>
      <c r="D45" s="82" t="s">
        <v>306</v>
      </c>
      <c r="E45" s="82" t="s">
        <v>307</v>
      </c>
      <c r="F45" s="82"/>
      <c r="G45" s="82" t="s">
        <v>308</v>
      </c>
      <c r="H45" s="80"/>
      <c r="I45" s="164"/>
      <c r="J45" s="80">
        <f t="shared" si="1"/>
        <v>35</v>
      </c>
    </row>
    <row r="46" spans="1:11" x14ac:dyDescent="0.25">
      <c r="A46" s="80">
        <f t="shared" si="0"/>
        <v>36</v>
      </c>
      <c r="I46" s="164"/>
      <c r="J46" s="80">
        <f t="shared" si="1"/>
        <v>36</v>
      </c>
    </row>
    <row r="47" spans="1:11" x14ac:dyDescent="0.25">
      <c r="A47" s="80">
        <f t="shared" si="0"/>
        <v>37</v>
      </c>
      <c r="B47" s="162" t="s">
        <v>309</v>
      </c>
      <c r="C47" s="173">
        <f>G17</f>
        <v>6400965.29</v>
      </c>
      <c r="D47" s="178">
        <f>C47/C$50</f>
        <v>0.43663786749843475</v>
      </c>
      <c r="E47" s="178">
        <f>G27</f>
        <v>3.8015661384722177E-2</v>
      </c>
      <c r="G47" s="178">
        <f>D47*E47</f>
        <v>1.6599077318567683E-2</v>
      </c>
      <c r="H47" s="178"/>
      <c r="I47" s="164" t="s">
        <v>310</v>
      </c>
      <c r="J47" s="80">
        <f t="shared" si="1"/>
        <v>37</v>
      </c>
    </row>
    <row r="48" spans="1:11" x14ac:dyDescent="0.25">
      <c r="A48" s="80">
        <f t="shared" si="0"/>
        <v>38</v>
      </c>
      <c r="B48" s="162" t="s">
        <v>311</v>
      </c>
      <c r="C48" s="174">
        <f>G30</f>
        <v>0</v>
      </c>
      <c r="D48" s="178">
        <f>C48/C$50</f>
        <v>0</v>
      </c>
      <c r="E48" s="178">
        <f>G32</f>
        <v>0</v>
      </c>
      <c r="G48" s="178">
        <f>D48*E48</f>
        <v>0</v>
      </c>
      <c r="H48" s="178"/>
      <c r="I48" s="164" t="s">
        <v>312</v>
      </c>
      <c r="J48" s="80">
        <f t="shared" si="1"/>
        <v>38</v>
      </c>
    </row>
    <row r="49" spans="1:12" x14ac:dyDescent="0.25">
      <c r="A49" s="80">
        <f t="shared" si="0"/>
        <v>39</v>
      </c>
      <c r="B49" s="162" t="s">
        <v>313</v>
      </c>
      <c r="C49" s="174">
        <f>G39</f>
        <v>8258700.6859999998</v>
      </c>
      <c r="D49" s="186">
        <f>C49/C$50</f>
        <v>0.5633621325015653</v>
      </c>
      <c r="E49" s="187">
        <f>G42</f>
        <v>0.10100000000000001</v>
      </c>
      <c r="G49" s="186">
        <f>D49*E49</f>
        <v>5.68995753826581E-2</v>
      </c>
      <c r="H49" s="178"/>
      <c r="I49" s="164" t="s">
        <v>314</v>
      </c>
      <c r="J49" s="80">
        <f t="shared" si="1"/>
        <v>39</v>
      </c>
    </row>
    <row r="50" spans="1:12" ht="16.5" thickBot="1" x14ac:dyDescent="0.3">
      <c r="A50" s="80">
        <f t="shared" si="0"/>
        <v>40</v>
      </c>
      <c r="B50" s="162" t="s">
        <v>315</v>
      </c>
      <c r="C50" s="181">
        <f>SUM(C47:C49)</f>
        <v>14659665.976</v>
      </c>
      <c r="D50" s="177">
        <f>SUM(D47:D49)</f>
        <v>1</v>
      </c>
      <c r="G50" s="177">
        <f>SUM(G47:G49)</f>
        <v>7.3498652701225783E-2</v>
      </c>
      <c r="H50" s="178"/>
      <c r="I50" s="164" t="s">
        <v>316</v>
      </c>
      <c r="J50" s="80">
        <f t="shared" si="1"/>
        <v>40</v>
      </c>
    </row>
    <row r="51" spans="1:12" ht="16.5" thickTop="1" x14ac:dyDescent="0.25">
      <c r="A51" s="80">
        <f t="shared" si="0"/>
        <v>41</v>
      </c>
      <c r="I51" s="164"/>
      <c r="J51" s="80">
        <f t="shared" si="1"/>
        <v>41</v>
      </c>
    </row>
    <row r="52" spans="1:12" ht="16.5" thickBot="1" x14ac:dyDescent="0.3">
      <c r="A52" s="80">
        <f t="shared" si="0"/>
        <v>42</v>
      </c>
      <c r="B52" s="167" t="s">
        <v>317</v>
      </c>
      <c r="G52" s="177">
        <f>G48+G49</f>
        <v>5.68995753826581E-2</v>
      </c>
      <c r="H52" s="178"/>
      <c r="I52" s="164" t="s">
        <v>318</v>
      </c>
      <c r="J52" s="80">
        <f t="shared" si="1"/>
        <v>42</v>
      </c>
    </row>
    <row r="53" spans="1:12" ht="17.25" thickTop="1" thickBot="1" x14ac:dyDescent="0.3">
      <c r="A53" s="182">
        <f>A52+1</f>
        <v>43</v>
      </c>
      <c r="B53" s="183"/>
      <c r="C53" s="183"/>
      <c r="D53" s="183"/>
      <c r="E53" s="183"/>
      <c r="F53" s="183"/>
      <c r="G53" s="183"/>
      <c r="H53" s="183"/>
      <c r="I53" s="184"/>
      <c r="J53" s="182">
        <f>J52+1</f>
        <v>43</v>
      </c>
    </row>
    <row r="54" spans="1:12" x14ac:dyDescent="0.25">
      <c r="A54" s="80">
        <f t="shared" ref="A54:A103" si="2">A53+1</f>
        <v>44</v>
      </c>
      <c r="I54" s="164"/>
      <c r="J54" s="80">
        <f t="shared" ref="J54:J103" si="3">J53+1</f>
        <v>44</v>
      </c>
    </row>
    <row r="55" spans="1:12" ht="16.5" thickBot="1" x14ac:dyDescent="0.3">
      <c r="A55" s="80">
        <f>A54+1</f>
        <v>45</v>
      </c>
      <c r="B55" s="167" t="s">
        <v>319</v>
      </c>
      <c r="G55" s="302">
        <f>0.5%*0</f>
        <v>0</v>
      </c>
      <c r="H55" s="12" t="s">
        <v>16</v>
      </c>
      <c r="I55" s="80" t="s">
        <v>429</v>
      </c>
      <c r="J55" s="80">
        <f>J54+1</f>
        <v>45</v>
      </c>
      <c r="K55" s="303"/>
      <c r="L55" s="303"/>
    </row>
    <row r="56" spans="1:12" ht="16.5" thickTop="1" x14ac:dyDescent="0.25">
      <c r="A56" s="80">
        <f t="shared" si="2"/>
        <v>46</v>
      </c>
      <c r="C56" s="84" t="s">
        <v>297</v>
      </c>
      <c r="D56" s="84" t="s">
        <v>298</v>
      </c>
      <c r="E56" s="84" t="s">
        <v>299</v>
      </c>
      <c r="F56" s="84"/>
      <c r="G56" s="84" t="s">
        <v>300</v>
      </c>
      <c r="I56" s="164"/>
      <c r="J56" s="80">
        <f t="shared" si="3"/>
        <v>46</v>
      </c>
    </row>
    <row r="57" spans="1:12" x14ac:dyDescent="0.25">
      <c r="A57" s="80">
        <f t="shared" si="2"/>
        <v>47</v>
      </c>
      <c r="D57" s="80" t="s">
        <v>301</v>
      </c>
      <c r="E57" s="80" t="s">
        <v>302</v>
      </c>
      <c r="F57" s="80"/>
      <c r="G57" s="80" t="s">
        <v>303</v>
      </c>
      <c r="I57" s="164"/>
      <c r="J57" s="80">
        <f t="shared" si="3"/>
        <v>47</v>
      </c>
    </row>
    <row r="58" spans="1:12" ht="18.75" x14ac:dyDescent="0.25">
      <c r="A58" s="80">
        <f t="shared" si="2"/>
        <v>48</v>
      </c>
      <c r="B58" s="167" t="s">
        <v>304</v>
      </c>
      <c r="C58" s="82" t="s">
        <v>305</v>
      </c>
      <c r="D58" s="82" t="s">
        <v>306</v>
      </c>
      <c r="E58" s="82" t="s">
        <v>307</v>
      </c>
      <c r="F58" s="82"/>
      <c r="G58" s="82" t="s">
        <v>308</v>
      </c>
      <c r="I58" s="164"/>
      <c r="J58" s="80">
        <f t="shared" si="3"/>
        <v>48</v>
      </c>
    </row>
    <row r="59" spans="1:12" x14ac:dyDescent="0.25">
      <c r="A59" s="80">
        <f t="shared" si="2"/>
        <v>49</v>
      </c>
      <c r="I59" s="164"/>
      <c r="J59" s="80">
        <f t="shared" si="3"/>
        <v>49</v>
      </c>
    </row>
    <row r="60" spans="1:12" x14ac:dyDescent="0.25">
      <c r="A60" s="80">
        <f t="shared" si="2"/>
        <v>50</v>
      </c>
      <c r="B60" s="162" t="s">
        <v>309</v>
      </c>
      <c r="C60" s="173">
        <f>G17</f>
        <v>6400965.29</v>
      </c>
      <c r="D60" s="178">
        <f>C60/C$63</f>
        <v>0.43663786749843475</v>
      </c>
      <c r="E60" s="188">
        <v>0</v>
      </c>
      <c r="G60" s="178">
        <f>D60*E60</f>
        <v>0</v>
      </c>
      <c r="I60" s="164" t="s">
        <v>320</v>
      </c>
      <c r="J60" s="80">
        <f t="shared" si="3"/>
        <v>50</v>
      </c>
    </row>
    <row r="61" spans="1:12" x14ac:dyDescent="0.25">
      <c r="A61" s="80">
        <f t="shared" si="2"/>
        <v>51</v>
      </c>
      <c r="B61" s="162" t="s">
        <v>311</v>
      </c>
      <c r="C61" s="174">
        <f>G30</f>
        <v>0</v>
      </c>
      <c r="D61" s="178">
        <f>C61/C$63</f>
        <v>0</v>
      </c>
      <c r="E61" s="188">
        <v>0</v>
      </c>
      <c r="G61" s="178">
        <f>D61*E61</f>
        <v>0</v>
      </c>
      <c r="I61" s="164" t="s">
        <v>320</v>
      </c>
      <c r="J61" s="80">
        <f t="shared" si="3"/>
        <v>51</v>
      </c>
    </row>
    <row r="62" spans="1:12" x14ac:dyDescent="0.25">
      <c r="A62" s="80">
        <f t="shared" si="2"/>
        <v>52</v>
      </c>
      <c r="B62" s="162" t="s">
        <v>313</v>
      </c>
      <c r="C62" s="174">
        <f>G39</f>
        <v>8258700.6859999998</v>
      </c>
      <c r="D62" s="186">
        <f>C62/C$63</f>
        <v>0.5633621325015653</v>
      </c>
      <c r="E62" s="304">
        <f>G55</f>
        <v>0</v>
      </c>
      <c r="F62" s="12" t="s">
        <v>16</v>
      </c>
      <c r="G62" s="305">
        <f>D62*E62</f>
        <v>0</v>
      </c>
      <c r="H62" s="12" t="s">
        <v>16</v>
      </c>
      <c r="I62" s="164" t="s">
        <v>321</v>
      </c>
      <c r="J62" s="80">
        <f t="shared" si="3"/>
        <v>52</v>
      </c>
    </row>
    <row r="63" spans="1:12" ht="16.5" thickBot="1" x14ac:dyDescent="0.3">
      <c r="A63" s="80">
        <f t="shared" si="2"/>
        <v>53</v>
      </c>
      <c r="B63" s="162" t="s">
        <v>315</v>
      </c>
      <c r="C63" s="181">
        <f>SUM(C60:C62)</f>
        <v>14659665.976</v>
      </c>
      <c r="D63" s="177">
        <f>SUM(D60:D62)</f>
        <v>1</v>
      </c>
      <c r="G63" s="306">
        <f>SUM(G60:G62)</f>
        <v>0</v>
      </c>
      <c r="H63" s="12" t="s">
        <v>16</v>
      </c>
      <c r="I63" s="164" t="s">
        <v>322</v>
      </c>
      <c r="J63" s="80">
        <f t="shared" si="3"/>
        <v>53</v>
      </c>
    </row>
    <row r="64" spans="1:12" ht="16.5" thickTop="1" x14ac:dyDescent="0.25">
      <c r="A64" s="80">
        <f t="shared" si="2"/>
        <v>54</v>
      </c>
      <c r="I64" s="164"/>
      <c r="J64" s="80">
        <f t="shared" si="3"/>
        <v>54</v>
      </c>
    </row>
    <row r="65" spans="1:10" ht="16.5" thickBot="1" x14ac:dyDescent="0.3">
      <c r="A65" s="80">
        <f t="shared" si="2"/>
        <v>55</v>
      </c>
      <c r="B65" s="167" t="s">
        <v>323</v>
      </c>
      <c r="G65" s="306">
        <f>G62</f>
        <v>0</v>
      </c>
      <c r="H65" s="12" t="s">
        <v>16</v>
      </c>
      <c r="I65" s="164" t="s">
        <v>324</v>
      </c>
      <c r="J65" s="80">
        <f t="shared" si="3"/>
        <v>55</v>
      </c>
    </row>
    <row r="66" spans="1:10" ht="16.5" thickTop="1" x14ac:dyDescent="0.25">
      <c r="B66" s="167"/>
      <c r="G66" s="178"/>
      <c r="H66" s="12"/>
      <c r="I66" s="164"/>
      <c r="J66" s="80"/>
    </row>
    <row r="67" spans="1:10" x14ac:dyDescent="0.25">
      <c r="A67" s="12" t="s">
        <v>16</v>
      </c>
      <c r="B67" s="5" t="s">
        <v>405</v>
      </c>
      <c r="G67" s="178"/>
      <c r="I67" s="164"/>
      <c r="J67" s="80"/>
    </row>
    <row r="68" spans="1:10" ht="18.75" x14ac:dyDescent="0.25">
      <c r="A68" s="189">
        <v>1</v>
      </c>
      <c r="B68" s="162" t="s">
        <v>325</v>
      </c>
      <c r="G68" s="178"/>
      <c r="I68" s="164"/>
      <c r="J68" s="80"/>
    </row>
    <row r="69" spans="1:10" ht="18.75" x14ac:dyDescent="0.25">
      <c r="A69" s="189"/>
      <c r="G69" s="178"/>
      <c r="I69" s="164"/>
      <c r="J69" s="80"/>
    </row>
    <row r="70" spans="1:10" x14ac:dyDescent="0.25">
      <c r="B70" s="167"/>
      <c r="G70" s="178"/>
      <c r="I70" s="164"/>
      <c r="J70" s="80"/>
    </row>
    <row r="71" spans="1:10" x14ac:dyDescent="0.25">
      <c r="B71" s="322" t="s">
        <v>152</v>
      </c>
      <c r="C71" s="322"/>
      <c r="D71" s="322"/>
      <c r="E71" s="322"/>
      <c r="F71" s="322"/>
      <c r="G71" s="322"/>
      <c r="H71" s="322"/>
      <c r="I71" s="322"/>
      <c r="J71" s="80"/>
    </row>
    <row r="72" spans="1:10" x14ac:dyDescent="0.25">
      <c r="B72" s="322" t="s">
        <v>244</v>
      </c>
      <c r="C72" s="322"/>
      <c r="D72" s="322"/>
      <c r="E72" s="322"/>
      <c r="F72" s="322"/>
      <c r="G72" s="322"/>
      <c r="H72" s="322"/>
      <c r="I72" s="322"/>
      <c r="J72" s="80"/>
    </row>
    <row r="73" spans="1:10" x14ac:dyDescent="0.25">
      <c r="B73" s="322" t="s">
        <v>245</v>
      </c>
      <c r="C73" s="322"/>
      <c r="D73" s="322"/>
      <c r="E73" s="322"/>
      <c r="F73" s="322"/>
      <c r="G73" s="322"/>
      <c r="H73" s="322"/>
      <c r="I73" s="322"/>
      <c r="J73" s="80"/>
    </row>
    <row r="74" spans="1:10" x14ac:dyDescent="0.25">
      <c r="B74" s="319" t="str">
        <f>B5</f>
        <v>Base Period &amp; True-Up Period 12 - Months Ending December 31, 2021</v>
      </c>
      <c r="C74" s="319"/>
      <c r="D74" s="319"/>
      <c r="E74" s="319"/>
      <c r="F74" s="319"/>
      <c r="G74" s="319"/>
      <c r="H74" s="319"/>
      <c r="I74" s="319"/>
      <c r="J74" s="80"/>
    </row>
    <row r="75" spans="1:10" x14ac:dyDescent="0.25">
      <c r="B75" s="320" t="s">
        <v>1</v>
      </c>
      <c r="C75" s="321"/>
      <c r="D75" s="321"/>
      <c r="E75" s="321"/>
      <c r="F75" s="321"/>
      <c r="G75" s="321"/>
      <c r="H75" s="321"/>
      <c r="I75" s="321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4"/>
      <c r="J76" s="80"/>
    </row>
    <row r="77" spans="1:10" x14ac:dyDescent="0.25">
      <c r="A77" s="80" t="s">
        <v>2</v>
      </c>
      <c r="B77" s="87"/>
      <c r="C77" s="87"/>
      <c r="D77" s="87"/>
      <c r="E77" s="80" t="s">
        <v>247</v>
      </c>
      <c r="F77" s="87"/>
      <c r="G77" s="87"/>
      <c r="H77" s="87"/>
      <c r="I77" s="164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248</v>
      </c>
      <c r="F78" s="80"/>
      <c r="G78" s="165" t="s">
        <v>4</v>
      </c>
      <c r="H78" s="87"/>
      <c r="I78" s="166" t="s">
        <v>5</v>
      </c>
      <c r="J78" s="80" t="s">
        <v>6</v>
      </c>
    </row>
    <row r="79" spans="1:10" x14ac:dyDescent="0.25">
      <c r="I79" s="164"/>
      <c r="J79" s="80"/>
    </row>
    <row r="80" spans="1:10" ht="19.5" thickBot="1" x14ac:dyDescent="0.3">
      <c r="A80" s="80">
        <v>1</v>
      </c>
      <c r="B80" s="167" t="s">
        <v>326</v>
      </c>
      <c r="G80" s="185">
        <v>0</v>
      </c>
      <c r="H80" s="87"/>
      <c r="I80" s="190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297</v>
      </c>
      <c r="D81" s="84" t="s">
        <v>298</v>
      </c>
      <c r="E81" s="84" t="s">
        <v>299</v>
      </c>
      <c r="F81" s="84"/>
      <c r="G81" s="84" t="s">
        <v>300</v>
      </c>
      <c r="H81" s="84"/>
      <c r="I81" s="164"/>
      <c r="J81" s="80">
        <f t="shared" si="3"/>
        <v>2</v>
      </c>
    </row>
    <row r="82" spans="1:10" x14ac:dyDescent="0.25">
      <c r="A82" s="80">
        <f t="shared" si="2"/>
        <v>3</v>
      </c>
      <c r="D82" s="80" t="s">
        <v>301</v>
      </c>
      <c r="E82" s="80" t="s">
        <v>302</v>
      </c>
      <c r="F82" s="80"/>
      <c r="G82" s="80" t="s">
        <v>303</v>
      </c>
      <c r="H82" s="80"/>
      <c r="I82" s="164"/>
      <c r="J82" s="80">
        <f t="shared" si="3"/>
        <v>3</v>
      </c>
    </row>
    <row r="83" spans="1:10" ht="18.75" x14ac:dyDescent="0.25">
      <c r="A83" s="80">
        <f t="shared" si="2"/>
        <v>4</v>
      </c>
      <c r="B83" s="167" t="s">
        <v>327</v>
      </c>
      <c r="C83" s="82" t="s">
        <v>328</v>
      </c>
      <c r="D83" s="82" t="s">
        <v>306</v>
      </c>
      <c r="E83" s="82" t="s">
        <v>307</v>
      </c>
      <c r="F83" s="82"/>
      <c r="G83" s="82" t="s">
        <v>308</v>
      </c>
      <c r="H83" s="80"/>
      <c r="I83" s="164"/>
      <c r="J83" s="80">
        <f t="shared" si="3"/>
        <v>4</v>
      </c>
    </row>
    <row r="84" spans="1:10" x14ac:dyDescent="0.25">
      <c r="A84" s="80">
        <f t="shared" si="2"/>
        <v>5</v>
      </c>
      <c r="I84" s="164"/>
      <c r="J84" s="80">
        <f t="shared" si="3"/>
        <v>5</v>
      </c>
    </row>
    <row r="85" spans="1:10" x14ac:dyDescent="0.25">
      <c r="A85" s="80">
        <f t="shared" si="2"/>
        <v>6</v>
      </c>
      <c r="B85" s="162" t="s">
        <v>309</v>
      </c>
      <c r="C85" s="173">
        <f>G17</f>
        <v>6400965.29</v>
      </c>
      <c r="D85" s="178">
        <f>C85/C$88</f>
        <v>0.43663786749843475</v>
      </c>
      <c r="E85" s="178">
        <f>G27</f>
        <v>3.8015661384722177E-2</v>
      </c>
      <c r="G85" s="178">
        <f>D85*E85</f>
        <v>1.6599077318567683E-2</v>
      </c>
      <c r="H85" s="178"/>
      <c r="I85" s="164" t="s">
        <v>329</v>
      </c>
      <c r="J85" s="80">
        <f t="shared" si="3"/>
        <v>6</v>
      </c>
    </row>
    <row r="86" spans="1:10" x14ac:dyDescent="0.25">
      <c r="A86" s="80">
        <f t="shared" si="2"/>
        <v>7</v>
      </c>
      <c r="B86" s="162" t="s">
        <v>311</v>
      </c>
      <c r="C86" s="174">
        <f>G30</f>
        <v>0</v>
      </c>
      <c r="D86" s="178">
        <f>C86/C$88</f>
        <v>0</v>
      </c>
      <c r="E86" s="178">
        <f>G32</f>
        <v>0</v>
      </c>
      <c r="G86" s="178">
        <f>D86*E86</f>
        <v>0</v>
      </c>
      <c r="H86" s="178"/>
      <c r="I86" s="164" t="s">
        <v>330</v>
      </c>
      <c r="J86" s="80">
        <f t="shared" si="3"/>
        <v>7</v>
      </c>
    </row>
    <row r="87" spans="1:10" x14ac:dyDescent="0.25">
      <c r="A87" s="80">
        <f t="shared" si="2"/>
        <v>8</v>
      </c>
      <c r="B87" s="162" t="s">
        <v>313</v>
      </c>
      <c r="C87" s="174">
        <f>G39</f>
        <v>8258700.6859999998</v>
      </c>
      <c r="D87" s="186">
        <f>C87/C$88</f>
        <v>0.5633621325015653</v>
      </c>
      <c r="E87" s="187">
        <f>G80</f>
        <v>0</v>
      </c>
      <c r="G87" s="186">
        <f>D87*E87</f>
        <v>0</v>
      </c>
      <c r="H87" s="178"/>
      <c r="I87" s="164" t="s">
        <v>331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2" t="s">
        <v>315</v>
      </c>
      <c r="C88" s="181">
        <f>SUM(C85:C87)</f>
        <v>14659665.976</v>
      </c>
      <c r="D88" s="177">
        <f>SUM(D85:D87)</f>
        <v>1</v>
      </c>
      <c r="G88" s="177">
        <f>SUM(G85:G87)</f>
        <v>1.6599077318567683E-2</v>
      </c>
      <c r="H88" s="178"/>
      <c r="I88" s="164" t="s">
        <v>332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4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7" t="s">
        <v>333</v>
      </c>
      <c r="G90" s="177">
        <f>G86+G87</f>
        <v>0</v>
      </c>
      <c r="H90" s="178"/>
      <c r="I90" s="164" t="s">
        <v>334</v>
      </c>
      <c r="J90" s="80">
        <f t="shared" si="3"/>
        <v>11</v>
      </c>
    </row>
    <row r="91" spans="1:10" ht="17.25" thickTop="1" thickBot="1" x14ac:dyDescent="0.3">
      <c r="A91" s="182">
        <f t="shared" si="2"/>
        <v>12</v>
      </c>
      <c r="B91" s="191"/>
      <c r="C91" s="183"/>
      <c r="D91" s="183"/>
      <c r="E91" s="183"/>
      <c r="F91" s="183"/>
      <c r="G91" s="192"/>
      <c r="H91" s="192"/>
      <c r="I91" s="184"/>
      <c r="J91" s="182">
        <f t="shared" si="3"/>
        <v>12</v>
      </c>
    </row>
    <row r="92" spans="1:10" x14ac:dyDescent="0.25">
      <c r="A92" s="80">
        <f t="shared" si="2"/>
        <v>13</v>
      </c>
      <c r="I92" s="164"/>
      <c r="J92" s="80">
        <f t="shared" si="3"/>
        <v>13</v>
      </c>
    </row>
    <row r="93" spans="1:10" ht="16.5" thickBot="1" x14ac:dyDescent="0.3">
      <c r="A93" s="80">
        <f t="shared" si="2"/>
        <v>14</v>
      </c>
      <c r="B93" s="167" t="s">
        <v>319</v>
      </c>
      <c r="G93" s="185">
        <v>0</v>
      </c>
      <c r="I93" s="164" t="s">
        <v>335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297</v>
      </c>
      <c r="D94" s="84" t="s">
        <v>298</v>
      </c>
      <c r="E94" s="84" t="s">
        <v>299</v>
      </c>
      <c r="F94" s="84"/>
      <c r="G94" s="84" t="s">
        <v>300</v>
      </c>
      <c r="I94" s="164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301</v>
      </c>
      <c r="E95" s="80" t="s">
        <v>302</v>
      </c>
      <c r="F95" s="80"/>
      <c r="G95" s="80" t="s">
        <v>303</v>
      </c>
      <c r="I95" s="164"/>
      <c r="J95" s="80">
        <f t="shared" si="3"/>
        <v>16</v>
      </c>
    </row>
    <row r="96" spans="1:10" ht="18.75" x14ac:dyDescent="0.25">
      <c r="A96" s="80">
        <f t="shared" si="2"/>
        <v>17</v>
      </c>
      <c r="B96" s="167" t="s">
        <v>304</v>
      </c>
      <c r="C96" s="82" t="s">
        <v>328</v>
      </c>
      <c r="D96" s="82" t="s">
        <v>306</v>
      </c>
      <c r="E96" s="82" t="s">
        <v>307</v>
      </c>
      <c r="F96" s="82"/>
      <c r="G96" s="82" t="s">
        <v>308</v>
      </c>
      <c r="I96" s="164"/>
      <c r="J96" s="80">
        <f t="shared" si="3"/>
        <v>17</v>
      </c>
    </row>
    <row r="97" spans="1:10" x14ac:dyDescent="0.25">
      <c r="A97" s="80">
        <f t="shared" si="2"/>
        <v>18</v>
      </c>
      <c r="I97" s="164"/>
      <c r="J97" s="80">
        <f t="shared" si="3"/>
        <v>18</v>
      </c>
    </row>
    <row r="98" spans="1:10" x14ac:dyDescent="0.25">
      <c r="A98" s="80">
        <f t="shared" si="2"/>
        <v>19</v>
      </c>
      <c r="B98" s="162" t="s">
        <v>309</v>
      </c>
      <c r="C98" s="173">
        <f>G17</f>
        <v>6400965.29</v>
      </c>
      <c r="D98" s="178">
        <f>C98/C$101</f>
        <v>0.43663786749843475</v>
      </c>
      <c r="E98" s="188">
        <v>0</v>
      </c>
      <c r="G98" s="178">
        <f>D98*E98</f>
        <v>0</v>
      </c>
      <c r="I98" s="164" t="s">
        <v>320</v>
      </c>
      <c r="J98" s="80">
        <f t="shared" si="3"/>
        <v>19</v>
      </c>
    </row>
    <row r="99" spans="1:10" x14ac:dyDescent="0.25">
      <c r="A99" s="80">
        <f t="shared" si="2"/>
        <v>20</v>
      </c>
      <c r="B99" s="162" t="s">
        <v>311</v>
      </c>
      <c r="C99" s="174">
        <f>G30</f>
        <v>0</v>
      </c>
      <c r="D99" s="178">
        <f>C99/C$101</f>
        <v>0</v>
      </c>
      <c r="E99" s="188">
        <v>0</v>
      </c>
      <c r="G99" s="178">
        <f>D99*E99</f>
        <v>0</v>
      </c>
      <c r="I99" s="164" t="s">
        <v>320</v>
      </c>
      <c r="J99" s="80">
        <f t="shared" si="3"/>
        <v>20</v>
      </c>
    </row>
    <row r="100" spans="1:10" x14ac:dyDescent="0.25">
      <c r="A100" s="80">
        <f t="shared" si="2"/>
        <v>21</v>
      </c>
      <c r="B100" s="162" t="s">
        <v>313</v>
      </c>
      <c r="C100" s="174">
        <f>G39</f>
        <v>8258700.6859999998</v>
      </c>
      <c r="D100" s="186">
        <f>C100/C$101</f>
        <v>0.5633621325015653</v>
      </c>
      <c r="E100" s="187">
        <f>G93</f>
        <v>0</v>
      </c>
      <c r="G100" s="186">
        <f>D100*E100</f>
        <v>0</v>
      </c>
      <c r="I100" s="164" t="s">
        <v>336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2" t="s">
        <v>315</v>
      </c>
      <c r="C101" s="181">
        <f>SUM(C98:C100)</f>
        <v>14659665.976</v>
      </c>
      <c r="D101" s="177">
        <f>SUM(D98:D100)</f>
        <v>1</v>
      </c>
      <c r="G101" s="177">
        <f>SUM(G98:G100)</f>
        <v>0</v>
      </c>
      <c r="I101" s="164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4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7" t="s">
        <v>323</v>
      </c>
      <c r="G103" s="177">
        <f>G100</f>
        <v>0</v>
      </c>
      <c r="I103" s="164" t="s">
        <v>337</v>
      </c>
      <c r="J103" s="80">
        <f t="shared" si="3"/>
        <v>24</v>
      </c>
    </row>
    <row r="104" spans="1:10" ht="16.5" thickTop="1" x14ac:dyDescent="0.25">
      <c r="B104" s="167"/>
      <c r="G104" s="178"/>
      <c r="I104" s="164"/>
      <c r="J104" s="80"/>
    </row>
    <row r="105" spans="1:10" ht="18.75" x14ac:dyDescent="0.25">
      <c r="A105" s="189">
        <v>1</v>
      </c>
      <c r="B105" s="162" t="s">
        <v>338</v>
      </c>
      <c r="G105" s="178"/>
      <c r="I105" s="164"/>
      <c r="J105" s="80"/>
    </row>
    <row r="106" spans="1:10" ht="18.75" x14ac:dyDescent="0.25">
      <c r="A106" s="189">
        <v>2</v>
      </c>
      <c r="B106" s="162" t="s">
        <v>325</v>
      </c>
      <c r="G106" s="193"/>
      <c r="H106" s="193"/>
      <c r="J106" s="80" t="s">
        <v>12</v>
      </c>
    </row>
    <row r="107" spans="1:10" ht="18.75" x14ac:dyDescent="0.25">
      <c r="A107" s="189"/>
      <c r="G107" s="193"/>
      <c r="H107" s="193"/>
      <c r="J107" s="80"/>
    </row>
    <row r="108" spans="1:10" ht="18.75" x14ac:dyDescent="0.25">
      <c r="A108" s="189"/>
      <c r="G108" s="193"/>
      <c r="H108" s="193"/>
      <c r="J108" s="80"/>
    </row>
    <row r="109" spans="1:10" x14ac:dyDescent="0.25">
      <c r="B109" s="322" t="s">
        <v>152</v>
      </c>
      <c r="C109" s="322"/>
      <c r="D109" s="322"/>
      <c r="E109" s="322"/>
      <c r="F109" s="322"/>
      <c r="G109" s="322"/>
      <c r="H109" s="322"/>
      <c r="I109" s="322"/>
      <c r="J109" s="80"/>
    </row>
    <row r="110" spans="1:10" x14ac:dyDescent="0.25">
      <c r="B110" s="322" t="s">
        <v>244</v>
      </c>
      <c r="C110" s="322"/>
      <c r="D110" s="322"/>
      <c r="E110" s="322"/>
      <c r="F110" s="322"/>
      <c r="G110" s="322"/>
      <c r="H110" s="322"/>
      <c r="I110" s="322"/>
      <c r="J110" s="80"/>
    </row>
    <row r="111" spans="1:10" x14ac:dyDescent="0.25">
      <c r="B111" s="322" t="s">
        <v>245</v>
      </c>
      <c r="C111" s="322"/>
      <c r="D111" s="322"/>
      <c r="E111" s="322"/>
      <c r="F111" s="322"/>
      <c r="G111" s="322"/>
      <c r="H111" s="322"/>
      <c r="I111" s="322"/>
      <c r="J111" s="80"/>
    </row>
    <row r="112" spans="1:10" x14ac:dyDescent="0.25">
      <c r="B112" s="319" t="str">
        <f>B5</f>
        <v>Base Period &amp; True-Up Period 12 - Months Ending December 31, 2021</v>
      </c>
      <c r="C112" s="319"/>
      <c r="D112" s="319"/>
      <c r="E112" s="319"/>
      <c r="F112" s="319"/>
      <c r="G112" s="319"/>
      <c r="H112" s="319"/>
      <c r="I112" s="319"/>
      <c r="J112" s="80"/>
    </row>
    <row r="113" spans="1:12" x14ac:dyDescent="0.25">
      <c r="B113" s="320" t="s">
        <v>1</v>
      </c>
      <c r="C113" s="321"/>
      <c r="D113" s="321"/>
      <c r="E113" s="321"/>
      <c r="F113" s="321"/>
      <c r="G113" s="321"/>
      <c r="H113" s="321"/>
      <c r="I113" s="321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4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4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6" t="s">
        <v>5</v>
      </c>
      <c r="J116" s="80" t="s">
        <v>6</v>
      </c>
    </row>
    <row r="117" spans="1:12" x14ac:dyDescent="0.25">
      <c r="G117" s="80"/>
      <c r="H117" s="80"/>
      <c r="I117" s="164"/>
      <c r="J117" s="80"/>
    </row>
    <row r="118" spans="1:12" ht="18.75" x14ac:dyDescent="0.25">
      <c r="A118" s="80">
        <v>1</v>
      </c>
      <c r="B118" s="167" t="s">
        <v>339</v>
      </c>
      <c r="E118" s="87"/>
      <c r="F118" s="87"/>
      <c r="G118" s="195"/>
      <c r="H118" s="195"/>
      <c r="I118" s="164"/>
      <c r="J118" s="80">
        <v>1</v>
      </c>
    </row>
    <row r="119" spans="1:12" x14ac:dyDescent="0.25">
      <c r="A119" s="80">
        <f>A118+1</f>
        <v>2</v>
      </c>
      <c r="B119" s="196"/>
      <c r="E119" s="87"/>
      <c r="F119" s="87"/>
      <c r="G119" s="195"/>
      <c r="H119" s="195"/>
      <c r="I119" s="164"/>
      <c r="J119" s="80">
        <f>J118+1</f>
        <v>2</v>
      </c>
    </row>
    <row r="120" spans="1:12" x14ac:dyDescent="0.25">
      <c r="A120" s="80">
        <f>A119+1</f>
        <v>3</v>
      </c>
      <c r="B120" s="167" t="s">
        <v>340</v>
      </c>
      <c r="E120" s="87"/>
      <c r="F120" s="87"/>
      <c r="G120" s="195"/>
      <c r="H120" s="195"/>
      <c r="I120" s="164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5"/>
      <c r="H121" s="195"/>
      <c r="I121" s="164"/>
      <c r="J121" s="80">
        <f>J120+1</f>
        <v>4</v>
      </c>
    </row>
    <row r="122" spans="1:12" x14ac:dyDescent="0.25">
      <c r="A122" s="80">
        <f t="shared" ref="A122:A183" si="4">A121+1</f>
        <v>5</v>
      </c>
      <c r="B122" s="197" t="s">
        <v>341</v>
      </c>
      <c r="C122" s="87"/>
      <c r="D122" s="87"/>
      <c r="E122" s="87"/>
      <c r="F122" s="87"/>
      <c r="G122" s="195"/>
      <c r="H122" s="195"/>
      <c r="I122" s="198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2" t="s">
        <v>342</v>
      </c>
      <c r="D123" s="87"/>
      <c r="E123" s="87"/>
      <c r="F123" s="87"/>
      <c r="G123" s="199">
        <f>G52</f>
        <v>5.68995753826581E-2</v>
      </c>
      <c r="H123" s="87"/>
      <c r="I123" s="164" t="s">
        <v>343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2" t="s">
        <v>344</v>
      </c>
      <c r="D124" s="87"/>
      <c r="E124" s="87"/>
      <c r="F124" s="87"/>
      <c r="G124" s="200">
        <v>3545.067068161326</v>
      </c>
      <c r="H124" s="87"/>
      <c r="I124" s="164" t="s">
        <v>345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2" t="s">
        <v>346</v>
      </c>
      <c r="D125" s="87"/>
      <c r="E125" s="87"/>
      <c r="F125" s="87"/>
      <c r="G125" s="201">
        <v>8977.4801324399996</v>
      </c>
      <c r="H125" s="87"/>
      <c r="I125" s="190" t="s">
        <v>347</v>
      </c>
      <c r="J125" s="80">
        <f t="shared" si="5"/>
        <v>8</v>
      </c>
      <c r="K125" s="87"/>
    </row>
    <row r="126" spans="1:12" x14ac:dyDescent="0.25">
      <c r="A126" s="80">
        <f t="shared" si="4"/>
        <v>9</v>
      </c>
      <c r="B126" s="162" t="s">
        <v>348</v>
      </c>
      <c r="D126" s="87"/>
      <c r="E126" s="202"/>
      <c r="F126" s="87"/>
      <c r="G126" s="296">
        <v>4871929.9250013307</v>
      </c>
      <c r="H126" s="117"/>
      <c r="I126" s="164" t="s">
        <v>349</v>
      </c>
      <c r="J126" s="80">
        <f t="shared" si="5"/>
        <v>9</v>
      </c>
    </row>
    <row r="127" spans="1:12" x14ac:dyDescent="0.25">
      <c r="A127" s="80">
        <f t="shared" si="4"/>
        <v>10</v>
      </c>
      <c r="B127" s="162" t="s">
        <v>350</v>
      </c>
      <c r="D127" s="187"/>
      <c r="E127" s="87"/>
      <c r="F127" s="87"/>
      <c r="G127" s="204" t="s">
        <v>351</v>
      </c>
      <c r="H127" s="87"/>
      <c r="I127" s="164" t="s">
        <v>352</v>
      </c>
      <c r="J127" s="80">
        <f t="shared" si="5"/>
        <v>10</v>
      </c>
      <c r="L127" s="205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2" t="s">
        <v>353</v>
      </c>
      <c r="D129" s="87"/>
      <c r="E129" s="87"/>
      <c r="F129" s="87"/>
      <c r="G129" s="206">
        <f>(((G123)+(G125/G126))*G127-(G124/G126))/(1-G127)</f>
        <v>1.4693956021391969E-2</v>
      </c>
      <c r="H129" s="206"/>
      <c r="I129" s="164" t="s">
        <v>354</v>
      </c>
      <c r="J129" s="80">
        <f t="shared" si="5"/>
        <v>12</v>
      </c>
      <c r="L129" s="207"/>
    </row>
    <row r="130" spans="1:12" x14ac:dyDescent="0.25">
      <c r="A130" s="80">
        <f t="shared" si="4"/>
        <v>13</v>
      </c>
      <c r="B130" s="208" t="s">
        <v>355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9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7" t="s">
        <v>356</v>
      </c>
      <c r="C132" s="87"/>
      <c r="D132" s="87"/>
      <c r="E132" s="87"/>
      <c r="F132" s="87"/>
      <c r="G132" s="210"/>
      <c r="H132" s="210"/>
      <c r="I132" s="211"/>
      <c r="J132" s="80">
        <f t="shared" si="5"/>
        <v>15</v>
      </c>
      <c r="K132" s="212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10"/>
      <c r="H133" s="210"/>
      <c r="I133" s="213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7" t="s">
        <v>341</v>
      </c>
      <c r="C134" s="87"/>
      <c r="D134" s="87"/>
      <c r="E134" s="87"/>
      <c r="F134" s="87"/>
      <c r="G134" s="210"/>
      <c r="H134" s="210"/>
      <c r="I134" s="213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2" t="s">
        <v>342</v>
      </c>
      <c r="D135" s="87"/>
      <c r="E135" s="87"/>
      <c r="F135" s="87"/>
      <c r="G135" s="178">
        <f>G123</f>
        <v>5.68995753826581E-2</v>
      </c>
      <c r="H135" s="178"/>
      <c r="I135" s="164" t="s">
        <v>357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2" t="s">
        <v>358</v>
      </c>
      <c r="D136" s="87"/>
      <c r="E136" s="87"/>
      <c r="F136" s="87"/>
      <c r="G136" s="214">
        <v>0</v>
      </c>
      <c r="H136" s="178"/>
      <c r="I136" s="164" t="s">
        <v>359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2" t="s">
        <v>346</v>
      </c>
      <c r="D137" s="87"/>
      <c r="E137" s="87"/>
      <c r="F137" s="87"/>
      <c r="G137" s="214">
        <f>G125</f>
        <v>8977.4801324399996</v>
      </c>
      <c r="H137" s="214"/>
      <c r="I137" s="164" t="s">
        <v>360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2" t="s">
        <v>348</v>
      </c>
      <c r="D138" s="87"/>
      <c r="E138" s="87"/>
      <c r="F138" s="87"/>
      <c r="G138" s="223">
        <f>G126</f>
        <v>4871929.9250013307</v>
      </c>
      <c r="H138" s="117"/>
      <c r="I138" s="164" t="s">
        <v>361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2" t="s">
        <v>362</v>
      </c>
      <c r="D139" s="87"/>
      <c r="E139" s="87"/>
      <c r="F139" s="87"/>
      <c r="G139" s="206">
        <f>G129</f>
        <v>1.4693956021391969E-2</v>
      </c>
      <c r="H139" s="206"/>
      <c r="I139" s="164" t="s">
        <v>363</v>
      </c>
      <c r="J139" s="80">
        <f t="shared" si="5"/>
        <v>22</v>
      </c>
    </row>
    <row r="140" spans="1:12" x14ac:dyDescent="0.25">
      <c r="A140" s="80">
        <f t="shared" si="4"/>
        <v>23</v>
      </c>
      <c r="B140" s="162" t="s">
        <v>364</v>
      </c>
      <c r="D140" s="87"/>
      <c r="E140" s="87"/>
      <c r="F140" s="87"/>
      <c r="G140" s="204" t="s">
        <v>365</v>
      </c>
      <c r="H140" s="87"/>
      <c r="I140" s="164" t="s">
        <v>366</v>
      </c>
      <c r="J140" s="80">
        <f t="shared" si="5"/>
        <v>23</v>
      </c>
    </row>
    <row r="141" spans="1:12" x14ac:dyDescent="0.25">
      <c r="A141" s="80">
        <f t="shared" si="4"/>
        <v>24</v>
      </c>
      <c r="B141" s="163"/>
      <c r="D141" s="87"/>
      <c r="E141" s="87"/>
      <c r="F141" s="87"/>
      <c r="G141" s="216"/>
      <c r="H141" s="216"/>
      <c r="I141" s="213"/>
      <c r="J141" s="80">
        <f t="shared" si="5"/>
        <v>24</v>
      </c>
    </row>
    <row r="142" spans="1:12" x14ac:dyDescent="0.25">
      <c r="A142" s="80">
        <f t="shared" si="4"/>
        <v>25</v>
      </c>
      <c r="B142" s="162" t="s">
        <v>367</v>
      </c>
      <c r="C142" s="80"/>
      <c r="D142" s="80"/>
      <c r="E142" s="87"/>
      <c r="F142" s="87"/>
      <c r="G142" s="217">
        <f>(((G135)+(G137/G138)+G129)*G140-(G136/G138))/(1-G140)</f>
        <v>7.1212838963934022E-3</v>
      </c>
      <c r="H142" s="206"/>
      <c r="I142" s="164" t="s">
        <v>368</v>
      </c>
      <c r="J142" s="80">
        <f t="shared" si="5"/>
        <v>25</v>
      </c>
    </row>
    <row r="143" spans="1:12" x14ac:dyDescent="0.25">
      <c r="A143" s="80">
        <f t="shared" si="4"/>
        <v>26</v>
      </c>
      <c r="B143" s="208" t="s">
        <v>369</v>
      </c>
      <c r="G143" s="80"/>
      <c r="H143" s="80"/>
      <c r="I143" s="164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4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7" t="s">
        <v>370</v>
      </c>
      <c r="G145" s="206">
        <f>G142+G129</f>
        <v>2.1815239917785372E-2</v>
      </c>
      <c r="H145" s="206"/>
      <c r="I145" s="164" t="s">
        <v>371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4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7" t="s">
        <v>372</v>
      </c>
      <c r="G147" s="218">
        <f>G50</f>
        <v>7.3498652701225783E-2</v>
      </c>
      <c r="H147" s="87"/>
      <c r="I147" s="164" t="s">
        <v>373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8"/>
      <c r="H148" s="178"/>
      <c r="I148" s="164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7" t="s">
        <v>374</v>
      </c>
      <c r="G149" s="219">
        <f>G145+G147</f>
        <v>9.5313892619011159E-2</v>
      </c>
      <c r="H149" s="206"/>
      <c r="I149" s="164" t="s">
        <v>375</v>
      </c>
      <c r="J149" s="80">
        <f t="shared" si="5"/>
        <v>32</v>
      </c>
      <c r="K149" s="220"/>
      <c r="L149" s="207"/>
    </row>
    <row r="150" spans="1:12" ht="17.25" thickTop="1" thickBot="1" x14ac:dyDescent="0.3">
      <c r="A150" s="182">
        <f t="shared" si="4"/>
        <v>33</v>
      </c>
      <c r="B150" s="183"/>
      <c r="C150" s="183"/>
      <c r="D150" s="183"/>
      <c r="E150" s="183"/>
      <c r="F150" s="183"/>
      <c r="G150" s="182"/>
      <c r="H150" s="182"/>
      <c r="I150" s="184"/>
      <c r="J150" s="182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4"/>
      <c r="J151" s="80">
        <f t="shared" si="5"/>
        <v>34</v>
      </c>
    </row>
    <row r="152" spans="1:12" ht="18.75" x14ac:dyDescent="0.25">
      <c r="A152" s="80">
        <f t="shared" si="4"/>
        <v>35</v>
      </c>
      <c r="B152" s="167" t="s">
        <v>376</v>
      </c>
      <c r="E152" s="87"/>
      <c r="F152" s="87"/>
      <c r="G152" s="195"/>
      <c r="H152" s="195"/>
      <c r="I152" s="164"/>
      <c r="J152" s="80">
        <f t="shared" si="5"/>
        <v>35</v>
      </c>
    </row>
    <row r="153" spans="1:12" x14ac:dyDescent="0.25">
      <c r="A153" s="80">
        <f t="shared" si="4"/>
        <v>36</v>
      </c>
      <c r="B153" s="196"/>
      <c r="E153" s="87"/>
      <c r="F153" s="87"/>
      <c r="G153" s="195"/>
      <c r="H153" s="195"/>
      <c r="I153" s="164"/>
      <c r="J153" s="80">
        <f t="shared" si="5"/>
        <v>36</v>
      </c>
      <c r="L153" s="221"/>
    </row>
    <row r="154" spans="1:12" x14ac:dyDescent="0.25">
      <c r="A154" s="80">
        <f t="shared" si="4"/>
        <v>37</v>
      </c>
      <c r="B154" s="167" t="s">
        <v>340</v>
      </c>
      <c r="E154" s="87"/>
      <c r="F154" s="87"/>
      <c r="G154" s="195"/>
      <c r="H154" s="195"/>
      <c r="I154" s="164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5"/>
      <c r="H155" s="195"/>
      <c r="I155" s="164"/>
      <c r="J155" s="80">
        <f t="shared" si="5"/>
        <v>38</v>
      </c>
    </row>
    <row r="156" spans="1:12" x14ac:dyDescent="0.25">
      <c r="A156" s="80">
        <f t="shared" si="4"/>
        <v>39</v>
      </c>
      <c r="B156" s="197" t="s">
        <v>341</v>
      </c>
      <c r="C156" s="87"/>
      <c r="D156" s="87"/>
      <c r="E156" s="87"/>
      <c r="F156" s="87"/>
      <c r="G156" s="195"/>
      <c r="H156" s="195"/>
      <c r="I156" s="198"/>
      <c r="J156" s="80">
        <f t="shared" si="5"/>
        <v>39</v>
      </c>
    </row>
    <row r="157" spans="1:12" x14ac:dyDescent="0.25">
      <c r="A157" s="80">
        <f t="shared" si="4"/>
        <v>40</v>
      </c>
      <c r="B157" s="162" t="s">
        <v>377</v>
      </c>
      <c r="D157" s="87"/>
      <c r="E157" s="87"/>
      <c r="F157" s="87"/>
      <c r="G157" s="307">
        <f>G65</f>
        <v>0</v>
      </c>
      <c r="H157" s="117" t="s">
        <v>16</v>
      </c>
      <c r="I157" s="164" t="s">
        <v>378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2" t="s">
        <v>344</v>
      </c>
      <c r="D158" s="87"/>
      <c r="E158" s="87"/>
      <c r="F158" s="87"/>
      <c r="G158" s="222">
        <v>0</v>
      </c>
      <c r="H158" s="87"/>
      <c r="I158" s="164" t="s">
        <v>320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2" t="s">
        <v>346</v>
      </c>
      <c r="D159" s="87"/>
      <c r="E159" s="87"/>
      <c r="F159" s="87"/>
      <c r="G159" s="222">
        <v>0</v>
      </c>
      <c r="H159" s="87"/>
      <c r="I159" s="164" t="s">
        <v>320</v>
      </c>
      <c r="J159" s="80">
        <f t="shared" si="5"/>
        <v>42</v>
      </c>
      <c r="K159" s="87"/>
    </row>
    <row r="160" spans="1:12" x14ac:dyDescent="0.25">
      <c r="A160" s="80">
        <f t="shared" si="4"/>
        <v>43</v>
      </c>
      <c r="B160" s="162" t="s">
        <v>348</v>
      </c>
      <c r="D160" s="87"/>
      <c r="E160" s="202"/>
      <c r="F160" s="87"/>
      <c r="G160" s="296">
        <v>4871929.9250013307</v>
      </c>
      <c r="H160" s="117"/>
      <c r="I160" s="164" t="s">
        <v>349</v>
      </c>
      <c r="J160" s="80">
        <f t="shared" si="5"/>
        <v>43</v>
      </c>
    </row>
    <row r="161" spans="1:12" x14ac:dyDescent="0.25">
      <c r="A161" s="80">
        <f t="shared" si="4"/>
        <v>44</v>
      </c>
      <c r="B161" s="162" t="s">
        <v>350</v>
      </c>
      <c r="D161" s="187"/>
      <c r="E161" s="87"/>
      <c r="F161" s="87"/>
      <c r="G161" s="204" t="s">
        <v>351</v>
      </c>
      <c r="H161" s="87"/>
      <c r="I161" s="164" t="s">
        <v>352</v>
      </c>
      <c r="J161" s="80">
        <f t="shared" si="5"/>
        <v>44</v>
      </c>
      <c r="L161" s="205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2" t="s">
        <v>353</v>
      </c>
      <c r="D163" s="87"/>
      <c r="E163" s="87"/>
      <c r="F163" s="87"/>
      <c r="G163" s="225">
        <f>(((G157)+(G159/G160))*G161-(G158/G160))/(1-G161)</f>
        <v>0</v>
      </c>
      <c r="H163" s="117" t="s">
        <v>16</v>
      </c>
      <c r="I163" s="164" t="s">
        <v>354</v>
      </c>
      <c r="J163" s="80">
        <f t="shared" si="5"/>
        <v>46</v>
      </c>
      <c r="L163" s="207"/>
    </row>
    <row r="164" spans="1:12" x14ac:dyDescent="0.25">
      <c r="A164" s="80">
        <f t="shared" si="4"/>
        <v>47</v>
      </c>
      <c r="B164" s="208" t="s">
        <v>355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7" t="s">
        <v>356</v>
      </c>
      <c r="C166" s="87"/>
      <c r="D166" s="87"/>
      <c r="E166" s="87"/>
      <c r="F166" s="87"/>
      <c r="G166" s="210"/>
      <c r="H166" s="210"/>
      <c r="I166" s="211"/>
      <c r="J166" s="80">
        <f t="shared" si="5"/>
        <v>49</v>
      </c>
      <c r="K166" s="212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10"/>
      <c r="H167" s="210"/>
      <c r="I167" s="213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7" t="s">
        <v>341</v>
      </c>
      <c r="C168" s="87"/>
      <c r="D168" s="87"/>
      <c r="E168" s="87"/>
      <c r="F168" s="87"/>
      <c r="G168" s="210"/>
      <c r="H168" s="210"/>
      <c r="I168" s="213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2" t="s">
        <v>377</v>
      </c>
      <c r="D169" s="87"/>
      <c r="E169" s="87"/>
      <c r="F169" s="87"/>
      <c r="G169" s="308">
        <f>G157</f>
        <v>0</v>
      </c>
      <c r="H169" s="117" t="s">
        <v>16</v>
      </c>
      <c r="I169" s="164" t="s">
        <v>379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2" t="s">
        <v>358</v>
      </c>
      <c r="D170" s="87"/>
      <c r="E170" s="87"/>
      <c r="F170" s="87"/>
      <c r="G170" s="222">
        <v>0</v>
      </c>
      <c r="H170" s="178"/>
      <c r="I170" s="164" t="s">
        <v>320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2" t="s">
        <v>346</v>
      </c>
      <c r="D171" s="87"/>
      <c r="E171" s="87"/>
      <c r="F171" s="87"/>
      <c r="G171" s="223">
        <f>G159</f>
        <v>0</v>
      </c>
      <c r="H171" s="214"/>
      <c r="I171" s="164" t="s">
        <v>380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2" t="s">
        <v>348</v>
      </c>
      <c r="D172" s="87"/>
      <c r="E172" s="87"/>
      <c r="F172" s="87"/>
      <c r="G172" s="223">
        <f>G160</f>
        <v>4871929.9250013307</v>
      </c>
      <c r="H172" s="117"/>
      <c r="I172" s="164" t="s">
        <v>381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2" t="s">
        <v>362</v>
      </c>
      <c r="D173" s="87"/>
      <c r="E173" s="87"/>
      <c r="F173" s="87"/>
      <c r="G173" s="225">
        <f>G163</f>
        <v>0</v>
      </c>
      <c r="H173" s="117" t="s">
        <v>16</v>
      </c>
      <c r="I173" s="164" t="s">
        <v>382</v>
      </c>
      <c r="J173" s="80">
        <f t="shared" si="5"/>
        <v>56</v>
      </c>
    </row>
    <row r="174" spans="1:12" x14ac:dyDescent="0.25">
      <c r="A174" s="80">
        <f t="shared" si="4"/>
        <v>57</v>
      </c>
      <c r="B174" s="162" t="s">
        <v>364</v>
      </c>
      <c r="D174" s="87"/>
      <c r="E174" s="87"/>
      <c r="F174" s="87"/>
      <c r="G174" s="204" t="s">
        <v>365</v>
      </c>
      <c r="H174" s="87"/>
      <c r="I174" s="164" t="s">
        <v>366</v>
      </c>
      <c r="J174" s="80">
        <f t="shared" si="5"/>
        <v>57</v>
      </c>
    </row>
    <row r="175" spans="1:12" x14ac:dyDescent="0.25">
      <c r="A175" s="80">
        <f t="shared" si="4"/>
        <v>58</v>
      </c>
      <c r="B175" s="163"/>
      <c r="D175" s="87"/>
      <c r="E175" s="87"/>
      <c r="F175" s="87"/>
      <c r="G175" s="216"/>
      <c r="H175" s="216"/>
      <c r="I175" s="213"/>
      <c r="J175" s="80">
        <f t="shared" si="5"/>
        <v>58</v>
      </c>
      <c r="K175" s="224"/>
    </row>
    <row r="176" spans="1:12" x14ac:dyDescent="0.25">
      <c r="A176" s="80">
        <f t="shared" si="4"/>
        <v>59</v>
      </c>
      <c r="B176" s="162" t="s">
        <v>367</v>
      </c>
      <c r="C176" s="80"/>
      <c r="D176" s="80"/>
      <c r="E176" s="87"/>
      <c r="F176" s="87"/>
      <c r="G176" s="309">
        <f>(((G169)+(G171/G172)+G163)*G174-(G170/G172))/(1-G174)</f>
        <v>0</v>
      </c>
      <c r="H176" s="117" t="s">
        <v>16</v>
      </c>
      <c r="I176" s="164" t="s">
        <v>368</v>
      </c>
      <c r="J176" s="80">
        <f t="shared" si="5"/>
        <v>59</v>
      </c>
    </row>
    <row r="177" spans="1:12" x14ac:dyDescent="0.25">
      <c r="A177" s="80">
        <f t="shared" si="4"/>
        <v>60</v>
      </c>
      <c r="B177" s="208" t="s">
        <v>369</v>
      </c>
      <c r="G177" s="80"/>
      <c r="H177" s="80"/>
      <c r="I177" s="164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4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7" t="s">
        <v>370</v>
      </c>
      <c r="G179" s="225">
        <f>G176+G163</f>
        <v>0</v>
      </c>
      <c r="H179" s="117" t="s">
        <v>16</v>
      </c>
      <c r="I179" s="164" t="s">
        <v>383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4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7" t="s">
        <v>384</v>
      </c>
      <c r="G181" s="309">
        <f>G63</f>
        <v>0</v>
      </c>
      <c r="H181" s="117" t="s">
        <v>16</v>
      </c>
      <c r="I181" s="164" t="s">
        <v>385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8"/>
      <c r="H182" s="178"/>
      <c r="I182" s="164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7" t="s">
        <v>386</v>
      </c>
      <c r="G183" s="310">
        <f>G179+G181</f>
        <v>0</v>
      </c>
      <c r="H183" s="117" t="s">
        <v>16</v>
      </c>
      <c r="I183" s="164" t="s">
        <v>387</v>
      </c>
      <c r="J183" s="80">
        <f t="shared" si="5"/>
        <v>66</v>
      </c>
      <c r="K183" s="220"/>
      <c r="L183" s="207"/>
    </row>
    <row r="184" spans="1:12" ht="16.5" thickTop="1" x14ac:dyDescent="0.25">
      <c r="B184" s="167"/>
      <c r="G184" s="225"/>
      <c r="H184" s="225"/>
      <c r="I184" s="164"/>
      <c r="J184" s="80"/>
      <c r="K184" s="220"/>
      <c r="L184" s="207"/>
    </row>
    <row r="185" spans="1:12" x14ac:dyDescent="0.25">
      <c r="B185" s="167"/>
      <c r="G185" s="225"/>
      <c r="H185" s="225"/>
      <c r="I185" s="164"/>
      <c r="J185" s="80"/>
      <c r="K185" s="220"/>
      <c r="L185" s="207"/>
    </row>
    <row r="186" spans="1:12" x14ac:dyDescent="0.25">
      <c r="A186" s="12" t="s">
        <v>16</v>
      </c>
      <c r="B186" s="5" t="s">
        <v>405</v>
      </c>
      <c r="C186" s="226"/>
      <c r="D186" s="226"/>
      <c r="E186" s="226"/>
      <c r="F186" s="226"/>
      <c r="G186" s="227"/>
      <c r="H186" s="227"/>
      <c r="I186" s="228"/>
      <c r="J186" s="80"/>
    </row>
    <row r="187" spans="1:12" x14ac:dyDescent="0.25">
      <c r="A187" s="12"/>
      <c r="B187" s="5"/>
      <c r="C187" s="226"/>
      <c r="D187" s="226"/>
      <c r="E187" s="226"/>
      <c r="F187" s="226"/>
      <c r="G187" s="227"/>
      <c r="H187" s="227"/>
      <c r="I187" s="228"/>
      <c r="J187" s="80"/>
    </row>
    <row r="188" spans="1:12" x14ac:dyDescent="0.25">
      <c r="A188" s="12"/>
      <c r="B188" s="5"/>
      <c r="C188" s="226"/>
      <c r="D188" s="226"/>
      <c r="E188" s="226"/>
      <c r="F188" s="226"/>
      <c r="G188" s="227"/>
      <c r="H188" s="227"/>
      <c r="I188" s="228"/>
      <c r="J188" s="80"/>
    </row>
    <row r="189" spans="1:12" x14ac:dyDescent="0.25">
      <c r="B189" s="322" t="s">
        <v>152</v>
      </c>
      <c r="C189" s="322"/>
      <c r="D189" s="322"/>
      <c r="E189" s="322"/>
      <c r="F189" s="322"/>
      <c r="G189" s="322"/>
      <c r="H189" s="322"/>
      <c r="I189" s="322"/>
      <c r="J189" s="80"/>
    </row>
    <row r="190" spans="1:12" x14ac:dyDescent="0.25">
      <c r="B190" s="322" t="s">
        <v>244</v>
      </c>
      <c r="C190" s="322"/>
      <c r="D190" s="322"/>
      <c r="E190" s="322"/>
      <c r="F190" s="322"/>
      <c r="G190" s="322"/>
      <c r="H190" s="322"/>
      <c r="I190" s="322"/>
      <c r="J190" s="80"/>
    </row>
    <row r="191" spans="1:12" x14ac:dyDescent="0.25">
      <c r="B191" s="322" t="s">
        <v>245</v>
      </c>
      <c r="C191" s="322"/>
      <c r="D191" s="322"/>
      <c r="E191" s="322"/>
      <c r="F191" s="322"/>
      <c r="G191" s="322"/>
      <c r="H191" s="322"/>
      <c r="I191" s="322"/>
      <c r="J191" s="80"/>
    </row>
    <row r="192" spans="1:12" x14ac:dyDescent="0.25">
      <c r="B192" s="319" t="str">
        <f>B5</f>
        <v>Base Period &amp; True-Up Period 12 - Months Ending December 31, 2021</v>
      </c>
      <c r="C192" s="319"/>
      <c r="D192" s="319"/>
      <c r="E192" s="319"/>
      <c r="F192" s="319"/>
      <c r="G192" s="319"/>
      <c r="H192" s="319"/>
      <c r="I192" s="319"/>
      <c r="J192" s="80"/>
    </row>
    <row r="193" spans="1:10" x14ac:dyDescent="0.25">
      <c r="B193" s="320" t="s">
        <v>1</v>
      </c>
      <c r="C193" s="321"/>
      <c r="D193" s="321"/>
      <c r="E193" s="321"/>
      <c r="F193" s="321"/>
      <c r="G193" s="321"/>
      <c r="H193" s="321"/>
      <c r="I193" s="321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4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4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6" t="s">
        <v>5</v>
      </c>
      <c r="J196" s="80" t="s">
        <v>6</v>
      </c>
    </row>
    <row r="197" spans="1:10" x14ac:dyDescent="0.25">
      <c r="G197" s="80"/>
      <c r="H197" s="80"/>
      <c r="I197" s="164"/>
      <c r="J197" s="80"/>
    </row>
    <row r="198" spans="1:10" ht="18.75" x14ac:dyDescent="0.25">
      <c r="A198" s="80">
        <v>1</v>
      </c>
      <c r="B198" s="167" t="s">
        <v>388</v>
      </c>
      <c r="E198" s="87"/>
      <c r="F198" s="87"/>
      <c r="G198" s="195"/>
      <c r="H198" s="195"/>
      <c r="I198" s="164"/>
      <c r="J198" s="80">
        <v>1</v>
      </c>
    </row>
    <row r="199" spans="1:10" x14ac:dyDescent="0.25">
      <c r="A199" s="80">
        <f>A198+1</f>
        <v>2</v>
      </c>
      <c r="B199" s="196"/>
      <c r="E199" s="87"/>
      <c r="F199" s="87"/>
      <c r="G199" s="195"/>
      <c r="H199" s="195"/>
      <c r="I199" s="164"/>
      <c r="J199" s="80">
        <f>J198+1</f>
        <v>2</v>
      </c>
    </row>
    <row r="200" spans="1:10" x14ac:dyDescent="0.25">
      <c r="A200" s="80">
        <f>A199+1</f>
        <v>3</v>
      </c>
      <c r="B200" s="167" t="s">
        <v>340</v>
      </c>
      <c r="E200" s="87"/>
      <c r="F200" s="87"/>
      <c r="G200" s="195"/>
      <c r="H200" s="195"/>
      <c r="I200" s="164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5"/>
      <c r="H201" s="195"/>
      <c r="I201" s="164"/>
      <c r="J201" s="80">
        <f>J200+1</f>
        <v>4</v>
      </c>
    </row>
    <row r="202" spans="1:10" x14ac:dyDescent="0.25">
      <c r="A202" s="80">
        <f t="shared" ref="A202:A263" si="6">A201+1</f>
        <v>5</v>
      </c>
      <c r="B202" s="197" t="s">
        <v>341</v>
      </c>
      <c r="C202" s="87"/>
      <c r="D202" s="87"/>
      <c r="E202" s="87"/>
      <c r="F202" s="87"/>
      <c r="G202" s="195"/>
      <c r="H202" s="195"/>
      <c r="I202" s="198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2" t="s">
        <v>342</v>
      </c>
      <c r="D203" s="87"/>
      <c r="E203" s="87"/>
      <c r="F203" s="87"/>
      <c r="G203" s="199">
        <f>G90</f>
        <v>0</v>
      </c>
      <c r="H203" s="87"/>
      <c r="I203" s="164" t="s">
        <v>389</v>
      </c>
      <c r="J203" s="80">
        <f t="shared" si="7"/>
        <v>6</v>
      </c>
    </row>
    <row r="204" spans="1:10" x14ac:dyDescent="0.25">
      <c r="A204" s="80">
        <f t="shared" si="6"/>
        <v>7</v>
      </c>
      <c r="B204" s="162" t="s">
        <v>344</v>
      </c>
      <c r="D204" s="87"/>
      <c r="E204" s="87"/>
      <c r="F204" s="87"/>
      <c r="G204" s="222">
        <v>0</v>
      </c>
      <c r="H204" s="87"/>
      <c r="I204" s="164" t="s">
        <v>390</v>
      </c>
      <c r="J204" s="80">
        <f t="shared" si="7"/>
        <v>7</v>
      </c>
    </row>
    <row r="205" spans="1:10" x14ac:dyDescent="0.25">
      <c r="A205" s="80">
        <f t="shared" si="6"/>
        <v>8</v>
      </c>
      <c r="B205" s="162" t="s">
        <v>346</v>
      </c>
      <c r="D205" s="87"/>
      <c r="E205" s="87"/>
      <c r="F205" s="87"/>
      <c r="G205" s="201">
        <v>0</v>
      </c>
      <c r="H205" s="87"/>
      <c r="I205" s="190"/>
      <c r="J205" s="80">
        <f t="shared" si="7"/>
        <v>8</v>
      </c>
    </row>
    <row r="206" spans="1:10" x14ac:dyDescent="0.25">
      <c r="A206" s="80">
        <f t="shared" si="6"/>
        <v>9</v>
      </c>
      <c r="B206" s="162" t="s">
        <v>391</v>
      </c>
      <c r="D206" s="87"/>
      <c r="E206" s="87"/>
      <c r="F206" s="87"/>
      <c r="G206" s="200">
        <v>0</v>
      </c>
      <c r="H206" s="87"/>
      <c r="I206" s="164" t="s">
        <v>392</v>
      </c>
      <c r="J206" s="80">
        <f t="shared" si="7"/>
        <v>9</v>
      </c>
    </row>
    <row r="207" spans="1:10" x14ac:dyDescent="0.25">
      <c r="A207" s="80">
        <f t="shared" si="6"/>
        <v>10</v>
      </c>
      <c r="B207" s="162" t="s">
        <v>350</v>
      </c>
      <c r="D207" s="87"/>
      <c r="E207" s="87"/>
      <c r="F207" s="87"/>
      <c r="G207" s="229" t="str">
        <f>G127</f>
        <v>21%</v>
      </c>
      <c r="H207" s="87"/>
      <c r="I207" s="164" t="s">
        <v>393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2" t="s">
        <v>394</v>
      </c>
      <c r="D209" s="87"/>
      <c r="E209" s="87"/>
      <c r="F209" s="87"/>
      <c r="G209" s="206">
        <f>IFERROR((((G203)+(G205/G206))*G207-(G204/G206))/(1-G207),0)</f>
        <v>0</v>
      </c>
      <c r="H209" s="206"/>
      <c r="I209" s="164" t="s">
        <v>395</v>
      </c>
      <c r="J209" s="80">
        <f t="shared" si="7"/>
        <v>12</v>
      </c>
    </row>
    <row r="210" spans="1:10" x14ac:dyDescent="0.25">
      <c r="A210" s="80">
        <f t="shared" si="6"/>
        <v>13</v>
      </c>
      <c r="B210" s="208" t="s">
        <v>355</v>
      </c>
      <c r="D210" s="208"/>
      <c r="G210" s="178"/>
      <c r="H210" s="178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7" t="s">
        <v>356</v>
      </c>
      <c r="C212" s="87"/>
      <c r="D212" s="87"/>
      <c r="E212" s="87"/>
      <c r="F212" s="87"/>
      <c r="G212" s="210"/>
      <c r="H212" s="210"/>
      <c r="I212" s="211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10"/>
      <c r="H213" s="210"/>
      <c r="I213" s="198"/>
      <c r="J213" s="80">
        <f t="shared" si="7"/>
        <v>16</v>
      </c>
    </row>
    <row r="214" spans="1:10" x14ac:dyDescent="0.25">
      <c r="A214" s="80">
        <f t="shared" si="6"/>
        <v>17</v>
      </c>
      <c r="B214" s="197" t="s">
        <v>341</v>
      </c>
      <c r="C214" s="87"/>
      <c r="D214" s="87"/>
      <c r="E214" s="87"/>
      <c r="F214" s="87"/>
      <c r="G214" s="210"/>
      <c r="H214" s="210"/>
      <c r="I214" s="198"/>
      <c r="J214" s="80">
        <f t="shared" si="7"/>
        <v>17</v>
      </c>
    </row>
    <row r="215" spans="1:10" x14ac:dyDescent="0.25">
      <c r="A215" s="80">
        <f t="shared" si="6"/>
        <v>18</v>
      </c>
      <c r="B215" s="162" t="s">
        <v>342</v>
      </c>
      <c r="D215" s="87"/>
      <c r="E215" s="87"/>
      <c r="F215" s="87"/>
      <c r="G215" s="178">
        <f>G203</f>
        <v>0</v>
      </c>
      <c r="H215" s="178"/>
      <c r="I215" s="164" t="s">
        <v>357</v>
      </c>
      <c r="J215" s="80">
        <f t="shared" si="7"/>
        <v>18</v>
      </c>
    </row>
    <row r="216" spans="1:10" x14ac:dyDescent="0.25">
      <c r="A216" s="80">
        <f t="shared" si="6"/>
        <v>19</v>
      </c>
      <c r="B216" s="162" t="s">
        <v>358</v>
      </c>
      <c r="D216" s="87"/>
      <c r="E216" s="87"/>
      <c r="F216" s="87"/>
      <c r="G216" s="222">
        <v>0</v>
      </c>
      <c r="H216" s="178"/>
      <c r="I216" s="164" t="s">
        <v>390</v>
      </c>
      <c r="J216" s="80">
        <f t="shared" si="7"/>
        <v>19</v>
      </c>
    </row>
    <row r="217" spans="1:10" x14ac:dyDescent="0.25">
      <c r="A217" s="80">
        <f t="shared" si="6"/>
        <v>20</v>
      </c>
      <c r="B217" s="162" t="s">
        <v>346</v>
      </c>
      <c r="D217" s="87"/>
      <c r="E217" s="87"/>
      <c r="F217" s="87"/>
      <c r="G217" s="214">
        <f>G205</f>
        <v>0</v>
      </c>
      <c r="H217" s="214"/>
      <c r="I217" s="164" t="s">
        <v>360</v>
      </c>
      <c r="J217" s="80">
        <f t="shared" si="7"/>
        <v>20</v>
      </c>
    </row>
    <row r="218" spans="1:10" x14ac:dyDescent="0.25">
      <c r="A218" s="80">
        <f t="shared" si="6"/>
        <v>21</v>
      </c>
      <c r="B218" s="162" t="s">
        <v>391</v>
      </c>
      <c r="D218" s="87"/>
      <c r="E218" s="87"/>
      <c r="F218" s="87"/>
      <c r="G218" s="214">
        <f>G206</f>
        <v>0</v>
      </c>
      <c r="H218" s="214"/>
      <c r="I218" s="164" t="s">
        <v>361</v>
      </c>
      <c r="J218" s="80">
        <f t="shared" si="7"/>
        <v>21</v>
      </c>
    </row>
    <row r="219" spans="1:10" x14ac:dyDescent="0.25">
      <c r="A219" s="80">
        <f t="shared" si="6"/>
        <v>22</v>
      </c>
      <c r="B219" s="162" t="s">
        <v>362</v>
      </c>
      <c r="D219" s="87"/>
      <c r="E219" s="87"/>
      <c r="F219" s="87"/>
      <c r="G219" s="206">
        <f>G209</f>
        <v>0</v>
      </c>
      <c r="H219" s="206"/>
      <c r="I219" s="164" t="s">
        <v>363</v>
      </c>
      <c r="J219" s="80">
        <f t="shared" si="7"/>
        <v>22</v>
      </c>
    </row>
    <row r="220" spans="1:10" x14ac:dyDescent="0.25">
      <c r="A220" s="80">
        <f t="shared" si="6"/>
        <v>23</v>
      </c>
      <c r="B220" s="162" t="s">
        <v>364</v>
      </c>
      <c r="D220" s="87"/>
      <c r="E220" s="87"/>
      <c r="F220" s="87"/>
      <c r="G220" s="230" t="str">
        <f>G140</f>
        <v>8.84%</v>
      </c>
      <c r="H220" s="87"/>
      <c r="I220" s="164" t="s">
        <v>396</v>
      </c>
      <c r="J220" s="80">
        <f t="shared" si="7"/>
        <v>23</v>
      </c>
    </row>
    <row r="221" spans="1:10" x14ac:dyDescent="0.25">
      <c r="A221" s="80">
        <f t="shared" si="6"/>
        <v>24</v>
      </c>
      <c r="B221" s="163"/>
      <c r="D221" s="87"/>
      <c r="E221" s="87"/>
      <c r="F221" s="87"/>
      <c r="G221" s="216"/>
      <c r="H221" s="216"/>
      <c r="I221" s="213"/>
      <c r="J221" s="80">
        <f t="shared" si="7"/>
        <v>24</v>
      </c>
    </row>
    <row r="222" spans="1:10" x14ac:dyDescent="0.25">
      <c r="A222" s="80">
        <f t="shared" si="6"/>
        <v>25</v>
      </c>
      <c r="B222" s="162" t="s">
        <v>367</v>
      </c>
      <c r="C222" s="80"/>
      <c r="D222" s="80"/>
      <c r="E222" s="87"/>
      <c r="F222" s="87"/>
      <c r="G222" s="217">
        <f>IFERROR((((G215)+(G217/G218)+G209)*G220-(G216/G218))/(1-G220),0)</f>
        <v>0</v>
      </c>
      <c r="H222" s="206"/>
      <c r="I222" s="164" t="s">
        <v>368</v>
      </c>
      <c r="J222" s="80">
        <f t="shared" si="7"/>
        <v>25</v>
      </c>
    </row>
    <row r="223" spans="1:10" x14ac:dyDescent="0.25">
      <c r="A223" s="80">
        <f t="shared" si="6"/>
        <v>26</v>
      </c>
      <c r="B223" s="208" t="s">
        <v>369</v>
      </c>
      <c r="D223" s="208"/>
      <c r="G223" s="80"/>
      <c r="H223" s="80"/>
      <c r="I223" s="164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4"/>
      <c r="J224" s="80">
        <f t="shared" si="7"/>
        <v>27</v>
      </c>
    </row>
    <row r="225" spans="1:10" x14ac:dyDescent="0.25">
      <c r="A225" s="80">
        <f t="shared" si="6"/>
        <v>28</v>
      </c>
      <c r="B225" s="167" t="s">
        <v>370</v>
      </c>
      <c r="G225" s="206">
        <f>G222+G209</f>
        <v>0</v>
      </c>
      <c r="H225" s="206"/>
      <c r="I225" s="164" t="s">
        <v>371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4"/>
      <c r="J226" s="80">
        <f t="shared" si="7"/>
        <v>29</v>
      </c>
    </row>
    <row r="227" spans="1:10" x14ac:dyDescent="0.25">
      <c r="A227" s="80">
        <f t="shared" si="6"/>
        <v>30</v>
      </c>
      <c r="B227" s="167" t="s">
        <v>397</v>
      </c>
      <c r="G227" s="218">
        <f>G88</f>
        <v>1.6599077318567683E-2</v>
      </c>
      <c r="H227" s="87"/>
      <c r="I227" s="164" t="s">
        <v>398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4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7" t="s">
        <v>399</v>
      </c>
      <c r="G229" s="219">
        <f>G225+G227</f>
        <v>1.6599077318567683E-2</v>
      </c>
      <c r="H229" s="206"/>
      <c r="I229" s="164" t="s">
        <v>375</v>
      </c>
      <c r="J229" s="80">
        <f t="shared" si="7"/>
        <v>32</v>
      </c>
    </row>
    <row r="230" spans="1:10" ht="17.25" thickTop="1" thickBot="1" x14ac:dyDescent="0.3">
      <c r="A230" s="182">
        <f t="shared" si="6"/>
        <v>33</v>
      </c>
      <c r="B230" s="191"/>
      <c r="C230" s="183"/>
      <c r="D230" s="183"/>
      <c r="E230" s="183"/>
      <c r="F230" s="183"/>
      <c r="G230" s="231"/>
      <c r="H230" s="231"/>
      <c r="I230" s="184"/>
      <c r="J230" s="182">
        <f t="shared" si="7"/>
        <v>33</v>
      </c>
    </row>
    <row r="231" spans="1:10" x14ac:dyDescent="0.25">
      <c r="A231" s="80">
        <f t="shared" si="6"/>
        <v>34</v>
      </c>
      <c r="B231" s="167"/>
      <c r="G231" s="206"/>
      <c r="H231" s="206"/>
      <c r="I231" s="164"/>
      <c r="J231" s="80">
        <f t="shared" si="7"/>
        <v>34</v>
      </c>
    </row>
    <row r="232" spans="1:10" ht="18.75" x14ac:dyDescent="0.25">
      <c r="A232" s="80">
        <f t="shared" si="6"/>
        <v>35</v>
      </c>
      <c r="B232" s="167" t="s">
        <v>376</v>
      </c>
      <c r="E232" s="87"/>
      <c r="F232" s="87"/>
      <c r="G232" s="195"/>
      <c r="H232" s="195"/>
      <c r="I232" s="164"/>
      <c r="J232" s="80">
        <f t="shared" si="7"/>
        <v>35</v>
      </c>
    </row>
    <row r="233" spans="1:10" x14ac:dyDescent="0.25">
      <c r="A233" s="80">
        <f t="shared" si="6"/>
        <v>36</v>
      </c>
      <c r="B233" s="196"/>
      <c r="E233" s="87"/>
      <c r="F233" s="87"/>
      <c r="G233" s="195"/>
      <c r="H233" s="195"/>
      <c r="I233" s="164"/>
      <c r="J233" s="80">
        <f t="shared" si="7"/>
        <v>36</v>
      </c>
    </row>
    <row r="234" spans="1:10" x14ac:dyDescent="0.25">
      <c r="A234" s="80">
        <f t="shared" si="6"/>
        <v>37</v>
      </c>
      <c r="B234" s="167" t="s">
        <v>340</v>
      </c>
      <c r="E234" s="87"/>
      <c r="F234" s="87"/>
      <c r="G234" s="195"/>
      <c r="H234" s="195"/>
      <c r="I234" s="164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5"/>
      <c r="H235" s="195"/>
      <c r="I235" s="164"/>
      <c r="J235" s="80">
        <f t="shared" si="7"/>
        <v>38</v>
      </c>
    </row>
    <row r="236" spans="1:10" x14ac:dyDescent="0.25">
      <c r="A236" s="80">
        <f t="shared" si="6"/>
        <v>39</v>
      </c>
      <c r="B236" s="197" t="s">
        <v>341</v>
      </c>
      <c r="C236" s="87"/>
      <c r="D236" s="87"/>
      <c r="E236" s="87"/>
      <c r="F236" s="87"/>
      <c r="G236" s="195"/>
      <c r="H236" s="195"/>
      <c r="I236" s="198"/>
      <c r="J236" s="80">
        <f t="shared" si="7"/>
        <v>39</v>
      </c>
    </row>
    <row r="237" spans="1:10" x14ac:dyDescent="0.25">
      <c r="A237" s="80">
        <f t="shared" si="6"/>
        <v>40</v>
      </c>
      <c r="B237" s="162" t="s">
        <v>377</v>
      </c>
      <c r="D237" s="87"/>
      <c r="E237" s="87"/>
      <c r="F237" s="87"/>
      <c r="G237" s="199">
        <f>G103</f>
        <v>0</v>
      </c>
      <c r="H237" s="87"/>
      <c r="I237" s="164" t="s">
        <v>400</v>
      </c>
      <c r="J237" s="80">
        <f t="shared" si="7"/>
        <v>40</v>
      </c>
    </row>
    <row r="238" spans="1:10" x14ac:dyDescent="0.25">
      <c r="A238" s="80">
        <f t="shared" si="6"/>
        <v>41</v>
      </c>
      <c r="B238" s="162" t="s">
        <v>344</v>
      </c>
      <c r="D238" s="87"/>
      <c r="E238" s="87"/>
      <c r="F238" s="87"/>
      <c r="G238" s="222">
        <v>0</v>
      </c>
      <c r="H238" s="87"/>
      <c r="I238" s="164" t="s">
        <v>390</v>
      </c>
      <c r="J238" s="80">
        <f t="shared" si="7"/>
        <v>41</v>
      </c>
    </row>
    <row r="239" spans="1:10" x14ac:dyDescent="0.25">
      <c r="A239" s="80">
        <f t="shared" si="6"/>
        <v>42</v>
      </c>
      <c r="B239" s="162" t="s">
        <v>346</v>
      </c>
      <c r="D239" s="87"/>
      <c r="E239" s="87"/>
      <c r="F239" s="87"/>
      <c r="G239" s="201">
        <v>0</v>
      </c>
      <c r="H239" s="87"/>
      <c r="I239" s="190"/>
      <c r="J239" s="80">
        <f t="shared" si="7"/>
        <v>42</v>
      </c>
    </row>
    <row r="240" spans="1:10" x14ac:dyDescent="0.25">
      <c r="A240" s="80">
        <f t="shared" si="6"/>
        <v>43</v>
      </c>
      <c r="B240" s="162" t="s">
        <v>391</v>
      </c>
      <c r="D240" s="87"/>
      <c r="E240" s="87"/>
      <c r="F240" s="87"/>
      <c r="G240" s="200">
        <v>0</v>
      </c>
      <c r="H240" s="87"/>
      <c r="I240" s="164" t="s">
        <v>392</v>
      </c>
      <c r="J240" s="80">
        <f t="shared" si="7"/>
        <v>43</v>
      </c>
    </row>
    <row r="241" spans="1:10" x14ac:dyDescent="0.25">
      <c r="A241" s="80">
        <f t="shared" si="6"/>
        <v>44</v>
      </c>
      <c r="B241" s="162" t="s">
        <v>350</v>
      </c>
      <c r="D241" s="87"/>
      <c r="E241" s="87"/>
      <c r="F241" s="87"/>
      <c r="G241" s="229" t="str">
        <f>G161</f>
        <v>21%</v>
      </c>
      <c r="H241" s="87"/>
      <c r="I241" s="164" t="s">
        <v>401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2" t="s">
        <v>353</v>
      </c>
      <c r="D243" s="87"/>
      <c r="E243" s="87"/>
      <c r="F243" s="87"/>
      <c r="G243" s="206">
        <f>IFERROR((((G237)+(G239/G240))*G241-(G238/G240))/(1-G241),0)</f>
        <v>0</v>
      </c>
      <c r="H243" s="206"/>
      <c r="I243" s="164" t="s">
        <v>395</v>
      </c>
      <c r="J243" s="80">
        <f t="shared" si="7"/>
        <v>46</v>
      </c>
    </row>
    <row r="244" spans="1:10" x14ac:dyDescent="0.25">
      <c r="A244" s="80">
        <f t="shared" si="6"/>
        <v>47</v>
      </c>
      <c r="B244" s="208" t="s">
        <v>355</v>
      </c>
      <c r="D244" s="208"/>
      <c r="G244" s="178"/>
      <c r="H244" s="178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7" t="s">
        <v>356</v>
      </c>
      <c r="C246" s="87"/>
      <c r="D246" s="87"/>
      <c r="E246" s="87"/>
      <c r="F246" s="87"/>
      <c r="G246" s="210"/>
      <c r="H246" s="210"/>
      <c r="I246" s="211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10"/>
      <c r="H247" s="210"/>
      <c r="I247" s="198"/>
      <c r="J247" s="80">
        <f t="shared" si="7"/>
        <v>50</v>
      </c>
    </row>
    <row r="248" spans="1:10" x14ac:dyDescent="0.25">
      <c r="A248" s="80">
        <f t="shared" si="6"/>
        <v>51</v>
      </c>
      <c r="B248" s="197" t="s">
        <v>341</v>
      </c>
      <c r="C248" s="87"/>
      <c r="D248" s="87"/>
      <c r="E248" s="87"/>
      <c r="F248" s="87"/>
      <c r="G248" s="210"/>
      <c r="H248" s="210"/>
      <c r="I248" s="198"/>
      <c r="J248" s="80">
        <f t="shared" si="7"/>
        <v>51</v>
      </c>
    </row>
    <row r="249" spans="1:10" x14ac:dyDescent="0.25">
      <c r="A249" s="80">
        <f t="shared" si="6"/>
        <v>52</v>
      </c>
      <c r="B249" s="162" t="s">
        <v>377</v>
      </c>
      <c r="D249" s="87"/>
      <c r="E249" s="87"/>
      <c r="F249" s="87"/>
      <c r="G249" s="178">
        <f>G237</f>
        <v>0</v>
      </c>
      <c r="H249" s="178"/>
      <c r="I249" s="164" t="s">
        <v>379</v>
      </c>
      <c r="J249" s="80">
        <f t="shared" si="7"/>
        <v>52</v>
      </c>
    </row>
    <row r="250" spans="1:10" x14ac:dyDescent="0.25">
      <c r="A250" s="80">
        <f t="shared" si="6"/>
        <v>53</v>
      </c>
      <c r="B250" s="162" t="s">
        <v>358</v>
      </c>
      <c r="D250" s="87"/>
      <c r="E250" s="87"/>
      <c r="F250" s="87"/>
      <c r="G250" s="222">
        <v>0</v>
      </c>
      <c r="H250" s="178"/>
      <c r="I250" s="164" t="s">
        <v>390</v>
      </c>
      <c r="J250" s="80">
        <f t="shared" si="7"/>
        <v>53</v>
      </c>
    </row>
    <row r="251" spans="1:10" x14ac:dyDescent="0.25">
      <c r="A251" s="80">
        <f t="shared" si="6"/>
        <v>54</v>
      </c>
      <c r="B251" s="162" t="s">
        <v>346</v>
      </c>
      <c r="D251" s="87"/>
      <c r="E251" s="87"/>
      <c r="F251" s="87"/>
      <c r="G251" s="214">
        <f>G239</f>
        <v>0</v>
      </c>
      <c r="H251" s="214"/>
      <c r="I251" s="164" t="s">
        <v>380</v>
      </c>
      <c r="J251" s="80">
        <f t="shared" si="7"/>
        <v>54</v>
      </c>
    </row>
    <row r="252" spans="1:10" x14ac:dyDescent="0.25">
      <c r="A252" s="80">
        <f t="shared" si="6"/>
        <v>55</v>
      </c>
      <c r="B252" s="162" t="s">
        <v>391</v>
      </c>
      <c r="D252" s="87"/>
      <c r="E252" s="87"/>
      <c r="F252" s="87"/>
      <c r="G252" s="214">
        <f>G240</f>
        <v>0</v>
      </c>
      <c r="H252" s="214"/>
      <c r="I252" s="164" t="s">
        <v>381</v>
      </c>
      <c r="J252" s="80">
        <f t="shared" si="7"/>
        <v>55</v>
      </c>
    </row>
    <row r="253" spans="1:10" x14ac:dyDescent="0.25">
      <c r="A253" s="80">
        <f t="shared" si="6"/>
        <v>56</v>
      </c>
      <c r="B253" s="162" t="s">
        <v>362</v>
      </c>
      <c r="D253" s="87"/>
      <c r="E253" s="87"/>
      <c r="F253" s="87"/>
      <c r="G253" s="206">
        <f>G243</f>
        <v>0</v>
      </c>
      <c r="H253" s="206"/>
      <c r="I253" s="164" t="s">
        <v>382</v>
      </c>
      <c r="J253" s="80">
        <f t="shared" si="7"/>
        <v>56</v>
      </c>
    </row>
    <row r="254" spans="1:10" x14ac:dyDescent="0.25">
      <c r="A254" s="80">
        <f t="shared" si="6"/>
        <v>57</v>
      </c>
      <c r="B254" s="162" t="s">
        <v>364</v>
      </c>
      <c r="D254" s="87"/>
      <c r="E254" s="87"/>
      <c r="F254" s="87"/>
      <c r="G254" s="230" t="str">
        <f>G174</f>
        <v>8.84%</v>
      </c>
      <c r="H254" s="87"/>
      <c r="I254" s="164" t="s">
        <v>402</v>
      </c>
      <c r="J254" s="80">
        <f t="shared" si="7"/>
        <v>57</v>
      </c>
    </row>
    <row r="255" spans="1:10" x14ac:dyDescent="0.25">
      <c r="A255" s="80">
        <f t="shared" si="6"/>
        <v>58</v>
      </c>
      <c r="B255" s="163"/>
      <c r="D255" s="87"/>
      <c r="E255" s="87"/>
      <c r="F255" s="87"/>
      <c r="G255" s="216"/>
      <c r="H255" s="216"/>
      <c r="I255" s="213"/>
      <c r="J255" s="80">
        <f t="shared" si="7"/>
        <v>58</v>
      </c>
    </row>
    <row r="256" spans="1:10" x14ac:dyDescent="0.25">
      <c r="A256" s="80">
        <f t="shared" si="6"/>
        <v>59</v>
      </c>
      <c r="B256" s="162" t="s">
        <v>367</v>
      </c>
      <c r="C256" s="80"/>
      <c r="D256" s="80"/>
      <c r="E256" s="87"/>
      <c r="F256" s="87"/>
      <c r="G256" s="217">
        <f>IFERROR((((G249)+(G251/G252)+G243)*G254-(G250/G252))/(1-G254),0)</f>
        <v>0</v>
      </c>
      <c r="H256" s="206"/>
      <c r="I256" s="164" t="s">
        <v>368</v>
      </c>
      <c r="J256" s="80">
        <f t="shared" si="7"/>
        <v>59</v>
      </c>
    </row>
    <row r="257" spans="1:10" x14ac:dyDescent="0.25">
      <c r="A257" s="80">
        <f t="shared" si="6"/>
        <v>60</v>
      </c>
      <c r="B257" s="208" t="s">
        <v>369</v>
      </c>
      <c r="D257" s="208"/>
      <c r="G257" s="80"/>
      <c r="H257" s="80"/>
      <c r="I257" s="164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4"/>
      <c r="J258" s="80">
        <f t="shared" si="7"/>
        <v>61</v>
      </c>
    </row>
    <row r="259" spans="1:10" x14ac:dyDescent="0.25">
      <c r="A259" s="80">
        <f t="shared" si="6"/>
        <v>62</v>
      </c>
      <c r="B259" s="167" t="s">
        <v>370</v>
      </c>
      <c r="G259" s="206">
        <f>G256+G243</f>
        <v>0</v>
      </c>
      <c r="H259" s="206"/>
      <c r="I259" s="164" t="s">
        <v>383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4"/>
      <c r="J260" s="80">
        <f t="shared" si="7"/>
        <v>63</v>
      </c>
    </row>
    <row r="261" spans="1:10" x14ac:dyDescent="0.25">
      <c r="A261" s="80">
        <f t="shared" si="6"/>
        <v>64</v>
      </c>
      <c r="B261" s="167" t="s">
        <v>384</v>
      </c>
      <c r="G261" s="218">
        <f>G101</f>
        <v>0</v>
      </c>
      <c r="H261" s="87"/>
      <c r="I261" s="164" t="s">
        <v>403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4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7" t="s">
        <v>386</v>
      </c>
      <c r="G263" s="219">
        <f>G259+G261</f>
        <v>0</v>
      </c>
      <c r="H263" s="206"/>
      <c r="I263" s="164" t="s">
        <v>387</v>
      </c>
      <c r="J263" s="80">
        <f t="shared" si="7"/>
        <v>66</v>
      </c>
    </row>
    <row r="264" spans="1:10" ht="16.5" thickTop="1" x14ac:dyDescent="0.25"/>
    <row r="266" spans="1:10" ht="18.75" x14ac:dyDescent="0.25">
      <c r="A266" s="189">
        <v>1</v>
      </c>
      <c r="B266" s="162" t="s">
        <v>404</v>
      </c>
    </row>
    <row r="268" spans="1:10" ht="18.75" x14ac:dyDescent="0.25">
      <c r="A268" s="189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B52-0A83-4B00-8237-59570F37944F}">
  <dimension ref="A1:L268"/>
  <sheetViews>
    <sheetView view="pageBreakPreview" zoomScale="60" zoomScaleNormal="80" workbookViewId="0">
      <selection activeCell="G126" sqref="G126"/>
    </sheetView>
  </sheetViews>
  <sheetFormatPr defaultColWidth="8.85546875" defaultRowHeight="15.75" x14ac:dyDescent="0.25"/>
  <cols>
    <col min="1" max="1" width="5.140625" style="80" customWidth="1"/>
    <col min="2" max="2" width="55.42578125" style="162" customWidth="1"/>
    <col min="3" max="5" width="15.5703125" style="162" customWidth="1"/>
    <col min="6" max="6" width="1.5703125" style="162" customWidth="1"/>
    <col min="7" max="7" width="16.85546875" style="162" customWidth="1"/>
    <col min="8" max="8" width="1.5703125" style="162" customWidth="1"/>
    <col min="9" max="9" width="42.42578125" style="194" customWidth="1"/>
    <col min="10" max="10" width="5.140625" style="162" customWidth="1"/>
    <col min="11" max="11" width="16.140625" style="162" bestFit="1" customWidth="1"/>
    <col min="12" max="12" width="10.42578125" style="162" bestFit="1" customWidth="1"/>
    <col min="13" max="16384" width="8.85546875" style="162"/>
  </cols>
  <sheetData>
    <row r="1" spans="1:10" x14ac:dyDescent="0.25">
      <c r="A1" s="281" t="s">
        <v>414</v>
      </c>
    </row>
    <row r="3" spans="1:10" x14ac:dyDescent="0.25">
      <c r="B3" s="322" t="s">
        <v>152</v>
      </c>
      <c r="C3" s="322"/>
      <c r="D3" s="322"/>
      <c r="E3" s="322"/>
      <c r="F3" s="322"/>
      <c r="G3" s="322"/>
      <c r="H3" s="322"/>
      <c r="I3" s="322"/>
      <c r="J3" s="80"/>
    </row>
    <row r="4" spans="1:10" x14ac:dyDescent="0.25">
      <c r="B4" s="322" t="s">
        <v>244</v>
      </c>
      <c r="C4" s="322"/>
      <c r="D4" s="322"/>
      <c r="E4" s="322"/>
      <c r="F4" s="322"/>
      <c r="G4" s="322"/>
      <c r="H4" s="322"/>
      <c r="I4" s="322"/>
      <c r="J4" s="80"/>
    </row>
    <row r="5" spans="1:10" x14ac:dyDescent="0.25">
      <c r="B5" s="322" t="s">
        <v>245</v>
      </c>
      <c r="C5" s="322"/>
      <c r="D5" s="322"/>
      <c r="E5" s="322"/>
      <c r="F5" s="322"/>
      <c r="G5" s="322"/>
      <c r="H5" s="322"/>
      <c r="I5" s="322"/>
      <c r="J5" s="80"/>
    </row>
    <row r="6" spans="1:10" x14ac:dyDescent="0.25">
      <c r="B6" s="319" t="s">
        <v>246</v>
      </c>
      <c r="C6" s="319"/>
      <c r="D6" s="319"/>
      <c r="E6" s="319"/>
      <c r="F6" s="319"/>
      <c r="G6" s="319"/>
      <c r="H6" s="319"/>
      <c r="I6" s="319"/>
      <c r="J6" s="80"/>
    </row>
    <row r="7" spans="1:10" x14ac:dyDescent="0.25">
      <c r="B7" s="320" t="s">
        <v>1</v>
      </c>
      <c r="C7" s="321"/>
      <c r="D7" s="321"/>
      <c r="E7" s="321"/>
      <c r="F7" s="321"/>
      <c r="G7" s="321"/>
      <c r="H7" s="321"/>
      <c r="I7" s="321"/>
      <c r="J7" s="80"/>
    </row>
    <row r="8" spans="1:10" x14ac:dyDescent="0.25">
      <c r="B8" s="80"/>
      <c r="C8" s="80"/>
      <c r="D8" s="80"/>
      <c r="E8" s="80"/>
      <c r="F8" s="80"/>
      <c r="G8" s="80"/>
      <c r="H8" s="80"/>
      <c r="I8" s="164"/>
      <c r="J8" s="80"/>
    </row>
    <row r="9" spans="1:10" x14ac:dyDescent="0.25">
      <c r="A9" s="80" t="s">
        <v>2</v>
      </c>
      <c r="B9" s="87"/>
      <c r="C9" s="87"/>
      <c r="D9" s="87"/>
      <c r="E9" s="80" t="s">
        <v>247</v>
      </c>
      <c r="F9" s="87"/>
      <c r="G9" s="87"/>
      <c r="H9" s="87"/>
      <c r="I9" s="164"/>
      <c r="J9" s="80" t="s">
        <v>2</v>
      </c>
    </row>
    <row r="10" spans="1:10" x14ac:dyDescent="0.25">
      <c r="A10" s="80" t="s">
        <v>6</v>
      </c>
      <c r="B10" s="80"/>
      <c r="C10" s="80"/>
      <c r="D10" s="80"/>
      <c r="E10" s="82" t="s">
        <v>248</v>
      </c>
      <c r="F10" s="80"/>
      <c r="G10" s="165" t="s">
        <v>4</v>
      </c>
      <c r="H10" s="87"/>
      <c r="I10" s="166" t="s">
        <v>5</v>
      </c>
      <c r="J10" s="80" t="s">
        <v>6</v>
      </c>
    </row>
    <row r="11" spans="1:10" x14ac:dyDescent="0.25">
      <c r="B11" s="80"/>
      <c r="C11" s="80"/>
      <c r="D11" s="80"/>
      <c r="E11" s="80"/>
      <c r="F11" s="80"/>
      <c r="G11" s="80"/>
      <c r="H11" s="80"/>
      <c r="I11" s="164"/>
      <c r="J11" s="80"/>
    </row>
    <row r="12" spans="1:10" x14ac:dyDescent="0.25">
      <c r="A12" s="80">
        <v>1</v>
      </c>
      <c r="B12" s="167" t="s">
        <v>249</v>
      </c>
      <c r="I12" s="164"/>
      <c r="J12" s="80">
        <f>A12</f>
        <v>1</v>
      </c>
    </row>
    <row r="13" spans="1:10" x14ac:dyDescent="0.25">
      <c r="A13" s="80">
        <f>A12+1</f>
        <v>2</v>
      </c>
      <c r="B13" s="162" t="s">
        <v>250</v>
      </c>
      <c r="E13" s="80" t="s">
        <v>251</v>
      </c>
      <c r="G13" s="168">
        <v>6417859</v>
      </c>
      <c r="H13" s="87"/>
      <c r="I13" s="169"/>
      <c r="J13" s="80">
        <f>J12+1</f>
        <v>2</v>
      </c>
    </row>
    <row r="14" spans="1:10" x14ac:dyDescent="0.25">
      <c r="A14" s="80">
        <f t="shared" ref="A14:A53" si="0">A13+1</f>
        <v>3</v>
      </c>
      <c r="B14" s="162" t="s">
        <v>252</v>
      </c>
      <c r="E14" s="80" t="s">
        <v>253</v>
      </c>
      <c r="G14" s="170">
        <v>0</v>
      </c>
      <c r="H14" s="87"/>
      <c r="I14" s="169"/>
      <c r="J14" s="80">
        <f t="shared" ref="J14:J53" si="1">J13+1</f>
        <v>3</v>
      </c>
    </row>
    <row r="15" spans="1:10" x14ac:dyDescent="0.25">
      <c r="A15" s="80">
        <f t="shared" si="0"/>
        <v>4</v>
      </c>
      <c r="B15" s="162" t="s">
        <v>254</v>
      </c>
      <c r="E15" s="80" t="s">
        <v>255</v>
      </c>
      <c r="G15" s="170">
        <v>0</v>
      </c>
      <c r="H15" s="87"/>
      <c r="I15" s="169"/>
      <c r="J15" s="80">
        <f t="shared" si="1"/>
        <v>4</v>
      </c>
    </row>
    <row r="16" spans="1:10" x14ac:dyDescent="0.25">
      <c r="A16" s="80">
        <f t="shared" si="0"/>
        <v>5</v>
      </c>
      <c r="B16" s="162" t="s">
        <v>256</v>
      </c>
      <c r="E16" s="80" t="s">
        <v>257</v>
      </c>
      <c r="G16" s="170">
        <v>0</v>
      </c>
      <c r="H16" s="87"/>
      <c r="I16" s="169"/>
      <c r="J16" s="80">
        <f t="shared" si="1"/>
        <v>5</v>
      </c>
    </row>
    <row r="17" spans="1:11" x14ac:dyDescent="0.25">
      <c r="A17" s="80">
        <f t="shared" si="0"/>
        <v>6</v>
      </c>
      <c r="B17" s="162" t="s">
        <v>258</v>
      </c>
      <c r="E17" s="80" t="s">
        <v>259</v>
      </c>
      <c r="G17" s="171">
        <v>-16893.71</v>
      </c>
      <c r="H17" s="87"/>
      <c r="I17" s="169"/>
      <c r="J17" s="80">
        <f t="shared" si="1"/>
        <v>6</v>
      </c>
    </row>
    <row r="18" spans="1:11" x14ac:dyDescent="0.25">
      <c r="A18" s="80">
        <f t="shared" si="0"/>
        <v>7</v>
      </c>
      <c r="B18" s="162" t="s">
        <v>260</v>
      </c>
      <c r="G18" s="172">
        <f>SUM(G13:G17)</f>
        <v>6400965.29</v>
      </c>
      <c r="H18" s="173"/>
      <c r="I18" s="164" t="s">
        <v>261</v>
      </c>
      <c r="J18" s="80">
        <f t="shared" si="1"/>
        <v>7</v>
      </c>
      <c r="K18" s="173"/>
    </row>
    <row r="19" spans="1:11" x14ac:dyDescent="0.25">
      <c r="A19" s="80">
        <f t="shared" si="0"/>
        <v>8</v>
      </c>
      <c r="I19" s="164"/>
      <c r="J19" s="80">
        <f t="shared" si="1"/>
        <v>8</v>
      </c>
    </row>
    <row r="20" spans="1:11" x14ac:dyDescent="0.25">
      <c r="A20" s="80">
        <f t="shared" si="0"/>
        <v>9</v>
      </c>
      <c r="B20" s="167" t="s">
        <v>262</v>
      </c>
      <c r="G20" s="174"/>
      <c r="H20" s="174"/>
      <c r="I20" s="164"/>
      <c r="J20" s="80">
        <f t="shared" si="1"/>
        <v>9</v>
      </c>
    </row>
    <row r="21" spans="1:11" x14ac:dyDescent="0.25">
      <c r="A21" s="80">
        <f t="shared" si="0"/>
        <v>10</v>
      </c>
      <c r="B21" s="162" t="s">
        <v>263</v>
      </c>
      <c r="E21" s="80" t="s">
        <v>264</v>
      </c>
      <c r="G21" s="168">
        <v>237653.59599999999</v>
      </c>
      <c r="H21" s="87"/>
      <c r="I21" s="169"/>
      <c r="J21" s="80">
        <f t="shared" si="1"/>
        <v>10</v>
      </c>
    </row>
    <row r="22" spans="1:11" x14ac:dyDescent="0.25">
      <c r="A22" s="80">
        <f t="shared" si="0"/>
        <v>11</v>
      </c>
      <c r="B22" s="162" t="s">
        <v>265</v>
      </c>
      <c r="E22" s="80" t="s">
        <v>266</v>
      </c>
      <c r="G22" s="170">
        <v>4408.152</v>
      </c>
      <c r="H22" s="87"/>
      <c r="I22" s="169"/>
      <c r="J22" s="80">
        <f t="shared" si="1"/>
        <v>11</v>
      </c>
    </row>
    <row r="23" spans="1:11" x14ac:dyDescent="0.25">
      <c r="A23" s="80">
        <f t="shared" si="0"/>
        <v>12</v>
      </c>
      <c r="B23" s="162" t="s">
        <v>267</v>
      </c>
      <c r="E23" s="80" t="s">
        <v>268</v>
      </c>
      <c r="G23" s="170">
        <v>1275.181</v>
      </c>
      <c r="H23" s="87"/>
      <c r="I23" s="169"/>
      <c r="J23" s="80">
        <f t="shared" si="1"/>
        <v>12</v>
      </c>
    </row>
    <row r="24" spans="1:11" x14ac:dyDescent="0.25">
      <c r="A24" s="80">
        <f t="shared" si="0"/>
        <v>13</v>
      </c>
      <c r="B24" s="162" t="s">
        <v>269</v>
      </c>
      <c r="E24" s="80" t="s">
        <v>270</v>
      </c>
      <c r="G24" s="170">
        <v>0</v>
      </c>
      <c r="H24" s="87"/>
      <c r="I24" s="169"/>
      <c r="J24" s="80">
        <f t="shared" si="1"/>
        <v>13</v>
      </c>
    </row>
    <row r="25" spans="1:11" x14ac:dyDescent="0.25">
      <c r="A25" s="80">
        <f t="shared" si="0"/>
        <v>14</v>
      </c>
      <c r="B25" s="162" t="s">
        <v>271</v>
      </c>
      <c r="E25" s="80" t="s">
        <v>272</v>
      </c>
      <c r="G25" s="171">
        <v>0</v>
      </c>
      <c r="H25" s="87"/>
      <c r="I25" s="169"/>
      <c r="J25" s="80">
        <f t="shared" si="1"/>
        <v>14</v>
      </c>
    </row>
    <row r="26" spans="1:11" x14ac:dyDescent="0.25">
      <c r="A26" s="80">
        <f t="shared" si="0"/>
        <v>15</v>
      </c>
      <c r="B26" s="162" t="s">
        <v>273</v>
      </c>
      <c r="G26" s="175">
        <f>SUM(G21:G25)</f>
        <v>243336.929</v>
      </c>
      <c r="H26" s="176"/>
      <c r="I26" s="164" t="s">
        <v>274</v>
      </c>
      <c r="J26" s="80">
        <f t="shared" si="1"/>
        <v>15</v>
      </c>
    </row>
    <row r="27" spans="1:11" x14ac:dyDescent="0.25">
      <c r="A27" s="80">
        <f t="shared" si="0"/>
        <v>16</v>
      </c>
      <c r="I27" s="164"/>
      <c r="J27" s="80">
        <f t="shared" si="1"/>
        <v>16</v>
      </c>
    </row>
    <row r="28" spans="1:11" ht="16.5" thickBot="1" x14ac:dyDescent="0.3">
      <c r="A28" s="80">
        <f t="shared" si="0"/>
        <v>17</v>
      </c>
      <c r="B28" s="167" t="s">
        <v>275</v>
      </c>
      <c r="G28" s="177">
        <f>G26/G18</f>
        <v>3.8015661384722177E-2</v>
      </c>
      <c r="H28" s="178"/>
      <c r="I28" s="164" t="s">
        <v>276</v>
      </c>
      <c r="J28" s="80">
        <f t="shared" si="1"/>
        <v>17</v>
      </c>
    </row>
    <row r="29" spans="1:11" ht="16.5" thickTop="1" x14ac:dyDescent="0.25">
      <c r="A29" s="80">
        <f t="shared" si="0"/>
        <v>18</v>
      </c>
      <c r="I29" s="164"/>
      <c r="J29" s="80">
        <f t="shared" si="1"/>
        <v>18</v>
      </c>
    </row>
    <row r="30" spans="1:11" x14ac:dyDescent="0.25">
      <c r="A30" s="80">
        <f t="shared" si="0"/>
        <v>19</v>
      </c>
      <c r="B30" s="167" t="s">
        <v>277</v>
      </c>
      <c r="I30" s="164"/>
      <c r="J30" s="80">
        <f t="shared" si="1"/>
        <v>19</v>
      </c>
    </row>
    <row r="31" spans="1:11" x14ac:dyDescent="0.25">
      <c r="A31" s="80">
        <f t="shared" si="0"/>
        <v>20</v>
      </c>
      <c r="B31" s="162" t="s">
        <v>278</v>
      </c>
      <c r="E31" s="80" t="s">
        <v>279</v>
      </c>
      <c r="G31" s="168">
        <v>0</v>
      </c>
      <c r="H31" s="87"/>
      <c r="I31" s="169"/>
      <c r="J31" s="80">
        <f t="shared" si="1"/>
        <v>20</v>
      </c>
    </row>
    <row r="32" spans="1:11" x14ac:dyDescent="0.25">
      <c r="A32" s="80">
        <f t="shared" si="0"/>
        <v>21</v>
      </c>
      <c r="B32" s="162" t="s">
        <v>280</v>
      </c>
      <c r="E32" s="80" t="s">
        <v>281</v>
      </c>
      <c r="G32" s="179">
        <v>0</v>
      </c>
      <c r="H32" s="87"/>
      <c r="I32" s="169"/>
      <c r="J32" s="80">
        <f t="shared" si="1"/>
        <v>21</v>
      </c>
    </row>
    <row r="33" spans="1:11" ht="16.5" thickBot="1" x14ac:dyDescent="0.3">
      <c r="A33" s="80">
        <f t="shared" si="0"/>
        <v>22</v>
      </c>
      <c r="B33" s="162" t="s">
        <v>282</v>
      </c>
      <c r="G33" s="177">
        <f>IFERROR((G32/G31),0)</f>
        <v>0</v>
      </c>
      <c r="H33" s="178"/>
      <c r="I33" s="164" t="s">
        <v>283</v>
      </c>
      <c r="J33" s="80">
        <f t="shared" si="1"/>
        <v>22</v>
      </c>
    </row>
    <row r="34" spans="1:11" ht="16.5" thickTop="1" x14ac:dyDescent="0.25">
      <c r="A34" s="80">
        <f t="shared" si="0"/>
        <v>23</v>
      </c>
      <c r="I34" s="164"/>
      <c r="J34" s="80">
        <f t="shared" si="1"/>
        <v>23</v>
      </c>
    </row>
    <row r="35" spans="1:11" x14ac:dyDescent="0.25">
      <c r="A35" s="80">
        <f t="shared" si="0"/>
        <v>24</v>
      </c>
      <c r="B35" s="167" t="s">
        <v>284</v>
      </c>
      <c r="I35" s="164"/>
      <c r="J35" s="80">
        <f t="shared" si="1"/>
        <v>24</v>
      </c>
    </row>
    <row r="36" spans="1:11" x14ac:dyDescent="0.25">
      <c r="A36" s="80">
        <f t="shared" si="0"/>
        <v>25</v>
      </c>
      <c r="B36" s="162" t="s">
        <v>285</v>
      </c>
      <c r="E36" s="80" t="s">
        <v>286</v>
      </c>
      <c r="G36" s="168">
        <v>8248583.6459999997</v>
      </c>
      <c r="H36" s="87"/>
      <c r="I36" s="169"/>
      <c r="J36" s="80">
        <f t="shared" si="1"/>
        <v>25</v>
      </c>
      <c r="K36" s="173"/>
    </row>
    <row r="37" spans="1:11" x14ac:dyDescent="0.25">
      <c r="A37" s="80">
        <f t="shared" si="0"/>
        <v>26</v>
      </c>
      <c r="B37" s="162" t="s">
        <v>287</v>
      </c>
      <c r="E37" s="80" t="s">
        <v>279</v>
      </c>
      <c r="G37" s="180">
        <f>-G31</f>
        <v>0</v>
      </c>
      <c r="H37" s="180"/>
      <c r="I37" s="164" t="s">
        <v>288</v>
      </c>
      <c r="J37" s="80">
        <f t="shared" si="1"/>
        <v>26</v>
      </c>
    </row>
    <row r="38" spans="1:11" x14ac:dyDescent="0.25">
      <c r="A38" s="80">
        <f t="shared" si="0"/>
        <v>27</v>
      </c>
      <c r="B38" s="162" t="s">
        <v>289</v>
      </c>
      <c r="E38" s="80" t="s">
        <v>290</v>
      </c>
      <c r="G38" s="170">
        <v>0</v>
      </c>
      <c r="H38" s="87"/>
      <c r="I38" s="169"/>
      <c r="J38" s="80">
        <f t="shared" si="1"/>
        <v>27</v>
      </c>
    </row>
    <row r="39" spans="1:11" x14ac:dyDescent="0.25">
      <c r="A39" s="80">
        <f t="shared" si="0"/>
        <v>28</v>
      </c>
      <c r="B39" s="162" t="s">
        <v>291</v>
      </c>
      <c r="E39" s="80" t="s">
        <v>292</v>
      </c>
      <c r="G39" s="170">
        <v>10117.040000000001</v>
      </c>
      <c r="H39" s="87"/>
      <c r="I39" s="169"/>
      <c r="J39" s="80">
        <f t="shared" si="1"/>
        <v>28</v>
      </c>
    </row>
    <row r="40" spans="1:11" ht="16.5" thickBot="1" x14ac:dyDescent="0.3">
      <c r="A40" s="80">
        <f t="shared" si="0"/>
        <v>29</v>
      </c>
      <c r="B40" s="162" t="s">
        <v>293</v>
      </c>
      <c r="G40" s="181">
        <f>SUM(G36:G39)</f>
        <v>8258700.6859999998</v>
      </c>
      <c r="H40" s="173"/>
      <c r="I40" s="164" t="s">
        <v>294</v>
      </c>
      <c r="J40" s="80">
        <f t="shared" si="1"/>
        <v>29</v>
      </c>
      <c r="K40" s="173"/>
    </row>
    <row r="41" spans="1:11" ht="17.25" thickTop="1" thickBot="1" x14ac:dyDescent="0.3">
      <c r="A41" s="182">
        <f t="shared" si="0"/>
        <v>30</v>
      </c>
      <c r="B41" s="183"/>
      <c r="C41" s="183"/>
      <c r="D41" s="183"/>
      <c r="E41" s="183"/>
      <c r="F41" s="183"/>
      <c r="G41" s="183"/>
      <c r="H41" s="183"/>
      <c r="I41" s="184"/>
      <c r="J41" s="182">
        <f t="shared" si="1"/>
        <v>30</v>
      </c>
      <c r="K41" s="173"/>
    </row>
    <row r="42" spans="1:11" x14ac:dyDescent="0.25">
      <c r="A42" s="80">
        <f>A41+1</f>
        <v>31</v>
      </c>
      <c r="I42" s="164"/>
      <c r="J42" s="80">
        <f>J41+1</f>
        <v>31</v>
      </c>
    </row>
    <row r="43" spans="1:11" ht="16.5" thickBot="1" x14ac:dyDescent="0.3">
      <c r="A43" s="80">
        <f>A42+1</f>
        <v>32</v>
      </c>
      <c r="B43" s="167" t="s">
        <v>295</v>
      </c>
      <c r="G43" s="185">
        <v>0.10100000000000001</v>
      </c>
      <c r="H43" s="87"/>
      <c r="I43" s="80" t="s">
        <v>296</v>
      </c>
      <c r="J43" s="80">
        <f>J42+1</f>
        <v>32</v>
      </c>
    </row>
    <row r="44" spans="1:11" ht="16.5" thickTop="1" x14ac:dyDescent="0.25">
      <c r="A44" s="80">
        <f t="shared" si="0"/>
        <v>33</v>
      </c>
      <c r="C44" s="84" t="s">
        <v>297</v>
      </c>
      <c r="D44" s="84" t="s">
        <v>298</v>
      </c>
      <c r="E44" s="84" t="s">
        <v>299</v>
      </c>
      <c r="F44" s="84"/>
      <c r="G44" s="84" t="s">
        <v>300</v>
      </c>
      <c r="H44" s="84"/>
      <c r="I44" s="164"/>
      <c r="J44" s="80">
        <f t="shared" si="1"/>
        <v>33</v>
      </c>
    </row>
    <row r="45" spans="1:11" x14ac:dyDescent="0.25">
      <c r="A45" s="80">
        <f t="shared" si="0"/>
        <v>34</v>
      </c>
      <c r="D45" s="80" t="s">
        <v>301</v>
      </c>
      <c r="E45" s="80" t="s">
        <v>302</v>
      </c>
      <c r="F45" s="80"/>
      <c r="G45" s="80" t="s">
        <v>303</v>
      </c>
      <c r="H45" s="80"/>
      <c r="I45" s="164"/>
      <c r="J45" s="80">
        <f t="shared" si="1"/>
        <v>34</v>
      </c>
    </row>
    <row r="46" spans="1:11" ht="18.75" x14ac:dyDescent="0.25">
      <c r="A46" s="80">
        <f t="shared" si="0"/>
        <v>35</v>
      </c>
      <c r="B46" s="167" t="s">
        <v>304</v>
      </c>
      <c r="C46" s="82" t="s">
        <v>305</v>
      </c>
      <c r="D46" s="82" t="s">
        <v>306</v>
      </c>
      <c r="E46" s="82" t="s">
        <v>307</v>
      </c>
      <c r="F46" s="82"/>
      <c r="G46" s="82" t="s">
        <v>308</v>
      </c>
      <c r="H46" s="80"/>
      <c r="I46" s="164"/>
      <c r="J46" s="80">
        <f t="shared" si="1"/>
        <v>35</v>
      </c>
    </row>
    <row r="47" spans="1:11" x14ac:dyDescent="0.25">
      <c r="A47" s="80">
        <f t="shared" si="0"/>
        <v>36</v>
      </c>
      <c r="I47" s="164"/>
      <c r="J47" s="80">
        <f t="shared" si="1"/>
        <v>36</v>
      </c>
    </row>
    <row r="48" spans="1:11" x14ac:dyDescent="0.25">
      <c r="A48" s="80">
        <f t="shared" si="0"/>
        <v>37</v>
      </c>
      <c r="B48" s="162" t="s">
        <v>309</v>
      </c>
      <c r="C48" s="173">
        <f>G18</f>
        <v>6400965.29</v>
      </c>
      <c r="D48" s="178">
        <f>C48/C$51</f>
        <v>0.43663786749843475</v>
      </c>
      <c r="E48" s="178">
        <f>G28</f>
        <v>3.8015661384722177E-2</v>
      </c>
      <c r="G48" s="178">
        <f>D48*E48</f>
        <v>1.6599077318567683E-2</v>
      </c>
      <c r="H48" s="178"/>
      <c r="I48" s="164" t="s">
        <v>310</v>
      </c>
      <c r="J48" s="80">
        <f t="shared" si="1"/>
        <v>37</v>
      </c>
    </row>
    <row r="49" spans="1:10" x14ac:dyDescent="0.25">
      <c r="A49" s="80">
        <f t="shared" si="0"/>
        <v>38</v>
      </c>
      <c r="B49" s="162" t="s">
        <v>311</v>
      </c>
      <c r="C49" s="174">
        <f>G31</f>
        <v>0</v>
      </c>
      <c r="D49" s="178">
        <f>C49/C$51</f>
        <v>0</v>
      </c>
      <c r="E49" s="178">
        <f>G33</f>
        <v>0</v>
      </c>
      <c r="G49" s="178">
        <f>D49*E49</f>
        <v>0</v>
      </c>
      <c r="H49" s="178"/>
      <c r="I49" s="164" t="s">
        <v>312</v>
      </c>
      <c r="J49" s="80">
        <f t="shared" si="1"/>
        <v>38</v>
      </c>
    </row>
    <row r="50" spans="1:10" x14ac:dyDescent="0.25">
      <c r="A50" s="80">
        <f t="shared" si="0"/>
        <v>39</v>
      </c>
      <c r="B50" s="162" t="s">
        <v>313</v>
      </c>
      <c r="C50" s="174">
        <f>G40</f>
        <v>8258700.6859999998</v>
      </c>
      <c r="D50" s="186">
        <f>C50/C$51</f>
        <v>0.5633621325015653</v>
      </c>
      <c r="E50" s="187">
        <f>G43</f>
        <v>0.10100000000000001</v>
      </c>
      <c r="G50" s="186">
        <f>D50*E50</f>
        <v>5.68995753826581E-2</v>
      </c>
      <c r="H50" s="178"/>
      <c r="I50" s="164" t="s">
        <v>314</v>
      </c>
      <c r="J50" s="80">
        <f t="shared" si="1"/>
        <v>39</v>
      </c>
    </row>
    <row r="51" spans="1:10" ht="16.5" thickBot="1" x14ac:dyDescent="0.3">
      <c r="A51" s="80">
        <f t="shared" si="0"/>
        <v>40</v>
      </c>
      <c r="B51" s="162" t="s">
        <v>315</v>
      </c>
      <c r="C51" s="181">
        <f>SUM(C48:C50)</f>
        <v>14659665.976</v>
      </c>
      <c r="D51" s="177">
        <f>SUM(D48:D50)</f>
        <v>1</v>
      </c>
      <c r="G51" s="177">
        <f>SUM(G48:G50)</f>
        <v>7.3498652701225783E-2</v>
      </c>
      <c r="H51" s="178"/>
      <c r="I51" s="164" t="s">
        <v>316</v>
      </c>
      <c r="J51" s="80">
        <f t="shared" si="1"/>
        <v>40</v>
      </c>
    </row>
    <row r="52" spans="1:10" ht="16.5" thickTop="1" x14ac:dyDescent="0.25">
      <c r="A52" s="80">
        <f t="shared" si="0"/>
        <v>41</v>
      </c>
      <c r="I52" s="164"/>
      <c r="J52" s="80">
        <f t="shared" si="1"/>
        <v>41</v>
      </c>
    </row>
    <row r="53" spans="1:10" ht="16.5" thickBot="1" x14ac:dyDescent="0.3">
      <c r="A53" s="80">
        <f t="shared" si="0"/>
        <v>42</v>
      </c>
      <c r="B53" s="167" t="s">
        <v>317</v>
      </c>
      <c r="G53" s="177">
        <f>G49+G50</f>
        <v>5.68995753826581E-2</v>
      </c>
      <c r="H53" s="178"/>
      <c r="I53" s="164" t="s">
        <v>318</v>
      </c>
      <c r="J53" s="80">
        <f t="shared" si="1"/>
        <v>42</v>
      </c>
    </row>
    <row r="54" spans="1:10" ht="17.25" thickTop="1" thickBot="1" x14ac:dyDescent="0.3">
      <c r="A54" s="182">
        <f>A53+1</f>
        <v>43</v>
      </c>
      <c r="B54" s="183"/>
      <c r="C54" s="183"/>
      <c r="D54" s="183"/>
      <c r="E54" s="183"/>
      <c r="F54" s="183"/>
      <c r="G54" s="183"/>
      <c r="H54" s="183"/>
      <c r="I54" s="184"/>
      <c r="J54" s="182">
        <f>J53+1</f>
        <v>43</v>
      </c>
    </row>
    <row r="55" spans="1:10" x14ac:dyDescent="0.25">
      <c r="A55" s="80">
        <f t="shared" ref="A55:A103" si="2">A54+1</f>
        <v>44</v>
      </c>
      <c r="I55" s="164"/>
      <c r="J55" s="80">
        <f t="shared" ref="J55:J103" si="3">J54+1</f>
        <v>44</v>
      </c>
    </row>
    <row r="56" spans="1:10" ht="16.5" thickBot="1" x14ac:dyDescent="0.3">
      <c r="A56" s="80">
        <f>A55+1</f>
        <v>45</v>
      </c>
      <c r="B56" s="167" t="s">
        <v>319</v>
      </c>
      <c r="G56" s="185">
        <v>5.0000000000000001E-3</v>
      </c>
      <c r="I56" s="80" t="s">
        <v>296</v>
      </c>
      <c r="J56" s="80">
        <f>J55+1</f>
        <v>45</v>
      </c>
    </row>
    <row r="57" spans="1:10" ht="16.5" thickTop="1" x14ac:dyDescent="0.25">
      <c r="A57" s="80">
        <f t="shared" si="2"/>
        <v>46</v>
      </c>
      <c r="C57" s="84" t="s">
        <v>297</v>
      </c>
      <c r="D57" s="84" t="s">
        <v>298</v>
      </c>
      <c r="E57" s="84" t="s">
        <v>299</v>
      </c>
      <c r="F57" s="84"/>
      <c r="G57" s="84" t="s">
        <v>300</v>
      </c>
      <c r="I57" s="164"/>
      <c r="J57" s="80">
        <f t="shared" si="3"/>
        <v>46</v>
      </c>
    </row>
    <row r="58" spans="1:10" x14ac:dyDescent="0.25">
      <c r="A58" s="80">
        <f t="shared" si="2"/>
        <v>47</v>
      </c>
      <c r="D58" s="80" t="s">
        <v>301</v>
      </c>
      <c r="E58" s="80" t="s">
        <v>302</v>
      </c>
      <c r="F58" s="80"/>
      <c r="G58" s="80" t="s">
        <v>303</v>
      </c>
      <c r="I58" s="164"/>
      <c r="J58" s="80">
        <f t="shared" si="3"/>
        <v>47</v>
      </c>
    </row>
    <row r="59" spans="1:10" ht="18.75" x14ac:dyDescent="0.25">
      <c r="A59" s="80">
        <f t="shared" si="2"/>
        <v>48</v>
      </c>
      <c r="B59" s="167" t="s">
        <v>304</v>
      </c>
      <c r="C59" s="82" t="s">
        <v>305</v>
      </c>
      <c r="D59" s="82" t="s">
        <v>306</v>
      </c>
      <c r="E59" s="82" t="s">
        <v>307</v>
      </c>
      <c r="F59" s="82"/>
      <c r="G59" s="82" t="s">
        <v>308</v>
      </c>
      <c r="I59" s="164"/>
      <c r="J59" s="80">
        <f t="shared" si="3"/>
        <v>48</v>
      </c>
    </row>
    <row r="60" spans="1:10" x14ac:dyDescent="0.25">
      <c r="A60" s="80">
        <f t="shared" si="2"/>
        <v>49</v>
      </c>
      <c r="I60" s="164"/>
      <c r="J60" s="80">
        <f t="shared" si="3"/>
        <v>49</v>
      </c>
    </row>
    <row r="61" spans="1:10" x14ac:dyDescent="0.25">
      <c r="A61" s="80">
        <f t="shared" si="2"/>
        <v>50</v>
      </c>
      <c r="B61" s="162" t="s">
        <v>309</v>
      </c>
      <c r="C61" s="173">
        <f>G18</f>
        <v>6400965.29</v>
      </c>
      <c r="D61" s="178">
        <f>C61/C$64</f>
        <v>0.43663786749843475</v>
      </c>
      <c r="E61" s="188">
        <v>0</v>
      </c>
      <c r="G61" s="178">
        <f>D61*E61</f>
        <v>0</v>
      </c>
      <c r="I61" s="164" t="s">
        <v>320</v>
      </c>
      <c r="J61" s="80">
        <f t="shared" si="3"/>
        <v>50</v>
      </c>
    </row>
    <row r="62" spans="1:10" x14ac:dyDescent="0.25">
      <c r="A62" s="80">
        <f t="shared" si="2"/>
        <v>51</v>
      </c>
      <c r="B62" s="162" t="s">
        <v>311</v>
      </c>
      <c r="C62" s="174">
        <f>G31</f>
        <v>0</v>
      </c>
      <c r="D62" s="178">
        <f>C62/C$64</f>
        <v>0</v>
      </c>
      <c r="E62" s="188">
        <v>0</v>
      </c>
      <c r="G62" s="178">
        <f>D62*E62</f>
        <v>0</v>
      </c>
      <c r="I62" s="164" t="s">
        <v>320</v>
      </c>
      <c r="J62" s="80">
        <f t="shared" si="3"/>
        <v>51</v>
      </c>
    </row>
    <row r="63" spans="1:10" x14ac:dyDescent="0.25">
      <c r="A63" s="80">
        <f t="shared" si="2"/>
        <v>52</v>
      </c>
      <c r="B63" s="162" t="s">
        <v>313</v>
      </c>
      <c r="C63" s="174">
        <f>G40</f>
        <v>8258700.6859999998</v>
      </c>
      <c r="D63" s="186">
        <f>C63/C$64</f>
        <v>0.5633621325015653</v>
      </c>
      <c r="E63" s="187">
        <f>G56</f>
        <v>5.0000000000000001E-3</v>
      </c>
      <c r="G63" s="186">
        <f>D63*E63</f>
        <v>2.8168106625078267E-3</v>
      </c>
      <c r="I63" s="164" t="s">
        <v>321</v>
      </c>
      <c r="J63" s="80">
        <f t="shared" si="3"/>
        <v>52</v>
      </c>
    </row>
    <row r="64" spans="1:10" ht="16.5" thickBot="1" x14ac:dyDescent="0.3">
      <c r="A64" s="80">
        <f t="shared" si="2"/>
        <v>53</v>
      </c>
      <c r="B64" s="162" t="s">
        <v>315</v>
      </c>
      <c r="C64" s="181">
        <f>SUM(C61:C63)</f>
        <v>14659665.976</v>
      </c>
      <c r="D64" s="177">
        <f>SUM(D61:D63)</f>
        <v>1</v>
      </c>
      <c r="G64" s="177">
        <f>SUM(G61:G63)</f>
        <v>2.8168106625078267E-3</v>
      </c>
      <c r="I64" s="164" t="s">
        <v>322</v>
      </c>
      <c r="J64" s="80">
        <f t="shared" si="3"/>
        <v>53</v>
      </c>
    </row>
    <row r="65" spans="1:10" ht="16.5" thickTop="1" x14ac:dyDescent="0.25">
      <c r="A65" s="80">
        <f t="shared" si="2"/>
        <v>54</v>
      </c>
      <c r="I65" s="164"/>
      <c r="J65" s="80">
        <f t="shared" si="3"/>
        <v>54</v>
      </c>
    </row>
    <row r="66" spans="1:10" ht="16.5" thickBot="1" x14ac:dyDescent="0.3">
      <c r="A66" s="80">
        <f t="shared" si="2"/>
        <v>55</v>
      </c>
      <c r="B66" s="167" t="s">
        <v>323</v>
      </c>
      <c r="G66" s="177">
        <f>G63</f>
        <v>2.8168106625078267E-3</v>
      </c>
      <c r="I66" s="164" t="s">
        <v>324</v>
      </c>
      <c r="J66" s="80">
        <f t="shared" si="3"/>
        <v>55</v>
      </c>
    </row>
    <row r="67" spans="1:10" ht="16.5" thickTop="1" x14ac:dyDescent="0.25">
      <c r="B67" s="167"/>
      <c r="G67" s="178"/>
      <c r="I67" s="164"/>
      <c r="J67" s="80"/>
    </row>
    <row r="68" spans="1:10" ht="18.75" x14ac:dyDescent="0.25">
      <c r="A68" s="189">
        <v>1</v>
      </c>
      <c r="B68" s="162" t="s">
        <v>325</v>
      </c>
      <c r="G68" s="178"/>
      <c r="I68" s="164"/>
      <c r="J68" s="80"/>
    </row>
    <row r="69" spans="1:10" ht="18.75" x14ac:dyDescent="0.25">
      <c r="A69" s="189"/>
      <c r="G69" s="178"/>
      <c r="I69" s="164"/>
      <c r="J69" s="80"/>
    </row>
    <row r="70" spans="1:10" x14ac:dyDescent="0.25">
      <c r="B70" s="167"/>
      <c r="G70" s="178"/>
      <c r="I70" s="164"/>
      <c r="J70" s="80"/>
    </row>
    <row r="71" spans="1:10" x14ac:dyDescent="0.25">
      <c r="B71" s="322" t="s">
        <v>152</v>
      </c>
      <c r="C71" s="322"/>
      <c r="D71" s="322"/>
      <c r="E71" s="322"/>
      <c r="F71" s="322"/>
      <c r="G71" s="322"/>
      <c r="H71" s="322"/>
      <c r="I71" s="322"/>
      <c r="J71" s="80"/>
    </row>
    <row r="72" spans="1:10" x14ac:dyDescent="0.25">
      <c r="B72" s="322" t="s">
        <v>244</v>
      </c>
      <c r="C72" s="322"/>
      <c r="D72" s="322"/>
      <c r="E72" s="322"/>
      <c r="F72" s="322"/>
      <c r="G72" s="322"/>
      <c r="H72" s="322"/>
      <c r="I72" s="322"/>
      <c r="J72" s="80"/>
    </row>
    <row r="73" spans="1:10" x14ac:dyDescent="0.25">
      <c r="B73" s="322" t="s">
        <v>245</v>
      </c>
      <c r="C73" s="322"/>
      <c r="D73" s="322"/>
      <c r="E73" s="322"/>
      <c r="F73" s="322"/>
      <c r="G73" s="322"/>
      <c r="H73" s="322"/>
      <c r="I73" s="322"/>
      <c r="J73" s="80"/>
    </row>
    <row r="74" spans="1:10" x14ac:dyDescent="0.25">
      <c r="B74" s="319" t="str">
        <f>B6</f>
        <v>Base Period &amp; True-Up Period 12 - Months Ending December 31, 2021</v>
      </c>
      <c r="C74" s="319"/>
      <c r="D74" s="319"/>
      <c r="E74" s="319"/>
      <c r="F74" s="319"/>
      <c r="G74" s="319"/>
      <c r="H74" s="319"/>
      <c r="I74" s="319"/>
      <c r="J74" s="80"/>
    </row>
    <row r="75" spans="1:10" x14ac:dyDescent="0.25">
      <c r="B75" s="320" t="s">
        <v>1</v>
      </c>
      <c r="C75" s="321"/>
      <c r="D75" s="321"/>
      <c r="E75" s="321"/>
      <c r="F75" s="321"/>
      <c r="G75" s="321"/>
      <c r="H75" s="321"/>
      <c r="I75" s="321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4"/>
      <c r="J76" s="80"/>
    </row>
    <row r="77" spans="1:10" x14ac:dyDescent="0.25">
      <c r="A77" s="80" t="s">
        <v>2</v>
      </c>
      <c r="B77" s="87"/>
      <c r="C77" s="87"/>
      <c r="D77" s="87"/>
      <c r="E77" s="80" t="s">
        <v>247</v>
      </c>
      <c r="F77" s="87"/>
      <c r="G77" s="87"/>
      <c r="H77" s="87"/>
      <c r="I77" s="164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248</v>
      </c>
      <c r="F78" s="80"/>
      <c r="G78" s="165" t="s">
        <v>4</v>
      </c>
      <c r="H78" s="87"/>
      <c r="I78" s="166" t="s">
        <v>5</v>
      </c>
      <c r="J78" s="80" t="s">
        <v>6</v>
      </c>
    </row>
    <row r="79" spans="1:10" x14ac:dyDescent="0.25">
      <c r="I79" s="164"/>
      <c r="J79" s="80"/>
    </row>
    <row r="80" spans="1:10" ht="19.5" thickBot="1" x14ac:dyDescent="0.3">
      <c r="A80" s="80">
        <v>1</v>
      </c>
      <c r="B80" s="167" t="s">
        <v>326</v>
      </c>
      <c r="G80" s="185">
        <v>0</v>
      </c>
      <c r="H80" s="87"/>
      <c r="I80" s="190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297</v>
      </c>
      <c r="D81" s="84" t="s">
        <v>298</v>
      </c>
      <c r="E81" s="84" t="s">
        <v>299</v>
      </c>
      <c r="F81" s="84"/>
      <c r="G81" s="84" t="s">
        <v>300</v>
      </c>
      <c r="H81" s="84"/>
      <c r="I81" s="164"/>
      <c r="J81" s="80">
        <f t="shared" si="3"/>
        <v>2</v>
      </c>
    </row>
    <row r="82" spans="1:10" x14ac:dyDescent="0.25">
      <c r="A82" s="80">
        <f t="shared" si="2"/>
        <v>3</v>
      </c>
      <c r="D82" s="80" t="s">
        <v>301</v>
      </c>
      <c r="E82" s="80" t="s">
        <v>302</v>
      </c>
      <c r="F82" s="80"/>
      <c r="G82" s="80" t="s">
        <v>303</v>
      </c>
      <c r="H82" s="80"/>
      <c r="I82" s="164"/>
      <c r="J82" s="80">
        <f t="shared" si="3"/>
        <v>3</v>
      </c>
    </row>
    <row r="83" spans="1:10" ht="18.75" x14ac:dyDescent="0.25">
      <c r="A83" s="80">
        <f t="shared" si="2"/>
        <v>4</v>
      </c>
      <c r="B83" s="167" t="s">
        <v>327</v>
      </c>
      <c r="C83" s="82" t="s">
        <v>328</v>
      </c>
      <c r="D83" s="82" t="s">
        <v>306</v>
      </c>
      <c r="E83" s="82" t="s">
        <v>307</v>
      </c>
      <c r="F83" s="82"/>
      <c r="G83" s="82" t="s">
        <v>308</v>
      </c>
      <c r="H83" s="80"/>
      <c r="I83" s="164"/>
      <c r="J83" s="80">
        <f t="shared" si="3"/>
        <v>4</v>
      </c>
    </row>
    <row r="84" spans="1:10" x14ac:dyDescent="0.25">
      <c r="A84" s="80">
        <f t="shared" si="2"/>
        <v>5</v>
      </c>
      <c r="I84" s="164"/>
      <c r="J84" s="80">
        <f t="shared" si="3"/>
        <v>5</v>
      </c>
    </row>
    <row r="85" spans="1:10" x14ac:dyDescent="0.25">
      <c r="A85" s="80">
        <f t="shared" si="2"/>
        <v>6</v>
      </c>
      <c r="B85" s="162" t="s">
        <v>309</v>
      </c>
      <c r="C85" s="173">
        <f>G18</f>
        <v>6400965.29</v>
      </c>
      <c r="D85" s="178">
        <f>C85/C$88</f>
        <v>0.43663786749843475</v>
      </c>
      <c r="E85" s="178">
        <f>G28</f>
        <v>3.8015661384722177E-2</v>
      </c>
      <c r="G85" s="178">
        <f>D85*E85</f>
        <v>1.6599077318567683E-2</v>
      </c>
      <c r="H85" s="178"/>
      <c r="I85" s="164" t="s">
        <v>329</v>
      </c>
      <c r="J85" s="80">
        <f t="shared" si="3"/>
        <v>6</v>
      </c>
    </row>
    <row r="86" spans="1:10" x14ac:dyDescent="0.25">
      <c r="A86" s="80">
        <f t="shared" si="2"/>
        <v>7</v>
      </c>
      <c r="B86" s="162" t="s">
        <v>311</v>
      </c>
      <c r="C86" s="174">
        <f>G31</f>
        <v>0</v>
      </c>
      <c r="D86" s="178">
        <f>C86/C$88</f>
        <v>0</v>
      </c>
      <c r="E86" s="178">
        <f>G33</f>
        <v>0</v>
      </c>
      <c r="G86" s="178">
        <f>D86*E86</f>
        <v>0</v>
      </c>
      <c r="H86" s="178"/>
      <c r="I86" s="164" t="s">
        <v>330</v>
      </c>
      <c r="J86" s="80">
        <f t="shared" si="3"/>
        <v>7</v>
      </c>
    </row>
    <row r="87" spans="1:10" x14ac:dyDescent="0.25">
      <c r="A87" s="80">
        <f t="shared" si="2"/>
        <v>8</v>
      </c>
      <c r="B87" s="162" t="s">
        <v>313</v>
      </c>
      <c r="C87" s="174">
        <f>G40</f>
        <v>8258700.6859999998</v>
      </c>
      <c r="D87" s="186">
        <f>C87/C$88</f>
        <v>0.5633621325015653</v>
      </c>
      <c r="E87" s="187">
        <f>G80</f>
        <v>0</v>
      </c>
      <c r="G87" s="186">
        <f>D87*E87</f>
        <v>0</v>
      </c>
      <c r="H87" s="178"/>
      <c r="I87" s="164" t="s">
        <v>331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2" t="s">
        <v>315</v>
      </c>
      <c r="C88" s="181">
        <f>SUM(C85:C87)</f>
        <v>14659665.976</v>
      </c>
      <c r="D88" s="177">
        <f>SUM(D85:D87)</f>
        <v>1</v>
      </c>
      <c r="G88" s="177">
        <f>SUM(G85:G87)</f>
        <v>1.6599077318567683E-2</v>
      </c>
      <c r="H88" s="178"/>
      <c r="I88" s="164" t="s">
        <v>332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4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7" t="s">
        <v>333</v>
      </c>
      <c r="G90" s="177">
        <f>G86+G87</f>
        <v>0</v>
      </c>
      <c r="H90" s="178"/>
      <c r="I90" s="164" t="s">
        <v>334</v>
      </c>
      <c r="J90" s="80">
        <f t="shared" si="3"/>
        <v>11</v>
      </c>
    </row>
    <row r="91" spans="1:10" ht="17.25" thickTop="1" thickBot="1" x14ac:dyDescent="0.3">
      <c r="A91" s="182">
        <f t="shared" si="2"/>
        <v>12</v>
      </c>
      <c r="B91" s="191"/>
      <c r="C91" s="183"/>
      <c r="D91" s="183"/>
      <c r="E91" s="183"/>
      <c r="F91" s="183"/>
      <c r="G91" s="192"/>
      <c r="H91" s="192"/>
      <c r="I91" s="184"/>
      <c r="J91" s="182">
        <f t="shared" si="3"/>
        <v>12</v>
      </c>
    </row>
    <row r="92" spans="1:10" x14ac:dyDescent="0.25">
      <c r="A92" s="80">
        <f t="shared" si="2"/>
        <v>13</v>
      </c>
      <c r="I92" s="164"/>
      <c r="J92" s="80">
        <f t="shared" si="3"/>
        <v>13</v>
      </c>
    </row>
    <row r="93" spans="1:10" ht="32.25" thickBot="1" x14ac:dyDescent="0.3">
      <c r="A93" s="80">
        <f t="shared" si="2"/>
        <v>14</v>
      </c>
      <c r="B93" s="167" t="s">
        <v>319</v>
      </c>
      <c r="G93" s="185">
        <v>0</v>
      </c>
      <c r="I93" s="164" t="s">
        <v>335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297</v>
      </c>
      <c r="D94" s="84" t="s">
        <v>298</v>
      </c>
      <c r="E94" s="84" t="s">
        <v>299</v>
      </c>
      <c r="F94" s="84"/>
      <c r="G94" s="84" t="s">
        <v>300</v>
      </c>
      <c r="I94" s="164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301</v>
      </c>
      <c r="E95" s="80" t="s">
        <v>302</v>
      </c>
      <c r="F95" s="80"/>
      <c r="G95" s="80" t="s">
        <v>303</v>
      </c>
      <c r="I95" s="164"/>
      <c r="J95" s="80">
        <f t="shared" si="3"/>
        <v>16</v>
      </c>
    </row>
    <row r="96" spans="1:10" ht="18.75" x14ac:dyDescent="0.25">
      <c r="A96" s="80">
        <f t="shared" si="2"/>
        <v>17</v>
      </c>
      <c r="B96" s="167" t="s">
        <v>304</v>
      </c>
      <c r="C96" s="82" t="s">
        <v>328</v>
      </c>
      <c r="D96" s="82" t="s">
        <v>306</v>
      </c>
      <c r="E96" s="82" t="s">
        <v>307</v>
      </c>
      <c r="F96" s="82"/>
      <c r="G96" s="82" t="s">
        <v>308</v>
      </c>
      <c r="I96" s="164"/>
      <c r="J96" s="80">
        <f t="shared" si="3"/>
        <v>17</v>
      </c>
    </row>
    <row r="97" spans="1:10" x14ac:dyDescent="0.25">
      <c r="A97" s="80">
        <f t="shared" si="2"/>
        <v>18</v>
      </c>
      <c r="I97" s="164"/>
      <c r="J97" s="80">
        <f t="shared" si="3"/>
        <v>18</v>
      </c>
    </row>
    <row r="98" spans="1:10" x14ac:dyDescent="0.25">
      <c r="A98" s="80">
        <f t="shared" si="2"/>
        <v>19</v>
      </c>
      <c r="B98" s="162" t="s">
        <v>309</v>
      </c>
      <c r="C98" s="173">
        <f>G18</f>
        <v>6400965.29</v>
      </c>
      <c r="D98" s="178">
        <f>C98/C$101</f>
        <v>0.43663786749843475</v>
      </c>
      <c r="E98" s="188">
        <v>0</v>
      </c>
      <c r="G98" s="178">
        <f>D98*E98</f>
        <v>0</v>
      </c>
      <c r="I98" s="164" t="s">
        <v>320</v>
      </c>
      <c r="J98" s="80">
        <f t="shared" si="3"/>
        <v>19</v>
      </c>
    </row>
    <row r="99" spans="1:10" x14ac:dyDescent="0.25">
      <c r="A99" s="80">
        <f t="shared" si="2"/>
        <v>20</v>
      </c>
      <c r="B99" s="162" t="s">
        <v>311</v>
      </c>
      <c r="C99" s="174">
        <f>G31</f>
        <v>0</v>
      </c>
      <c r="D99" s="178">
        <f>C99/C$101</f>
        <v>0</v>
      </c>
      <c r="E99" s="188">
        <v>0</v>
      </c>
      <c r="G99" s="178">
        <f>D99*E99</f>
        <v>0</v>
      </c>
      <c r="I99" s="164" t="s">
        <v>320</v>
      </c>
      <c r="J99" s="80">
        <f t="shared" si="3"/>
        <v>20</v>
      </c>
    </row>
    <row r="100" spans="1:10" x14ac:dyDescent="0.25">
      <c r="A100" s="80">
        <f t="shared" si="2"/>
        <v>21</v>
      </c>
      <c r="B100" s="162" t="s">
        <v>313</v>
      </c>
      <c r="C100" s="174">
        <f>G40</f>
        <v>8258700.6859999998</v>
      </c>
      <c r="D100" s="186">
        <f>C100/C$101</f>
        <v>0.5633621325015653</v>
      </c>
      <c r="E100" s="187">
        <f>G93</f>
        <v>0</v>
      </c>
      <c r="G100" s="186">
        <f>D100*E100</f>
        <v>0</v>
      </c>
      <c r="I100" s="164" t="s">
        <v>336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2" t="s">
        <v>315</v>
      </c>
      <c r="C101" s="181">
        <f>SUM(C98:C100)</f>
        <v>14659665.976</v>
      </c>
      <c r="D101" s="177">
        <f>SUM(D98:D100)</f>
        <v>1</v>
      </c>
      <c r="G101" s="177">
        <f>SUM(G98:G100)</f>
        <v>0</v>
      </c>
      <c r="I101" s="164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4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7" t="s">
        <v>323</v>
      </c>
      <c r="G103" s="177">
        <f>G100</f>
        <v>0</v>
      </c>
      <c r="I103" s="164" t="s">
        <v>337</v>
      </c>
      <c r="J103" s="80">
        <f t="shared" si="3"/>
        <v>24</v>
      </c>
    </row>
    <row r="104" spans="1:10" ht="16.5" thickTop="1" x14ac:dyDescent="0.25">
      <c r="B104" s="167"/>
      <c r="G104" s="178"/>
      <c r="I104" s="164"/>
      <c r="J104" s="80"/>
    </row>
    <row r="105" spans="1:10" ht="18.75" x14ac:dyDescent="0.25">
      <c r="A105" s="189">
        <v>1</v>
      </c>
      <c r="B105" s="162" t="s">
        <v>338</v>
      </c>
      <c r="G105" s="178"/>
      <c r="I105" s="164"/>
      <c r="J105" s="80"/>
    </row>
    <row r="106" spans="1:10" ht="18.75" x14ac:dyDescent="0.25">
      <c r="A106" s="189">
        <v>2</v>
      </c>
      <c r="B106" s="162" t="s">
        <v>325</v>
      </c>
      <c r="G106" s="193"/>
      <c r="H106" s="193"/>
      <c r="J106" s="80" t="s">
        <v>12</v>
      </c>
    </row>
    <row r="107" spans="1:10" ht="18.75" x14ac:dyDescent="0.25">
      <c r="A107" s="189"/>
      <c r="G107" s="193"/>
      <c r="H107" s="193"/>
      <c r="J107" s="80"/>
    </row>
    <row r="108" spans="1:10" ht="18.75" x14ac:dyDescent="0.25">
      <c r="A108" s="189"/>
      <c r="G108" s="193"/>
      <c r="H108" s="193"/>
      <c r="J108" s="80"/>
    </row>
    <row r="109" spans="1:10" x14ac:dyDescent="0.25">
      <c r="B109" s="322" t="s">
        <v>152</v>
      </c>
      <c r="C109" s="322"/>
      <c r="D109" s="322"/>
      <c r="E109" s="322"/>
      <c r="F109" s="322"/>
      <c r="G109" s="322"/>
      <c r="H109" s="322"/>
      <c r="I109" s="322"/>
      <c r="J109" s="80"/>
    </row>
    <row r="110" spans="1:10" x14ac:dyDescent="0.25">
      <c r="B110" s="322" t="s">
        <v>244</v>
      </c>
      <c r="C110" s="322"/>
      <c r="D110" s="322"/>
      <c r="E110" s="322"/>
      <c r="F110" s="322"/>
      <c r="G110" s="322"/>
      <c r="H110" s="322"/>
      <c r="I110" s="322"/>
      <c r="J110" s="80"/>
    </row>
    <row r="111" spans="1:10" x14ac:dyDescent="0.25">
      <c r="B111" s="322" t="s">
        <v>245</v>
      </c>
      <c r="C111" s="322"/>
      <c r="D111" s="322"/>
      <c r="E111" s="322"/>
      <c r="F111" s="322"/>
      <c r="G111" s="322"/>
      <c r="H111" s="322"/>
      <c r="I111" s="322"/>
      <c r="J111" s="80"/>
    </row>
    <row r="112" spans="1:10" x14ac:dyDescent="0.25">
      <c r="B112" s="319" t="str">
        <f>B6</f>
        <v>Base Period &amp; True-Up Period 12 - Months Ending December 31, 2021</v>
      </c>
      <c r="C112" s="319"/>
      <c r="D112" s="319"/>
      <c r="E112" s="319"/>
      <c r="F112" s="319"/>
      <c r="G112" s="319"/>
      <c r="H112" s="319"/>
      <c r="I112" s="319"/>
      <c r="J112" s="80"/>
    </row>
    <row r="113" spans="1:12" x14ac:dyDescent="0.25">
      <c r="B113" s="320" t="s">
        <v>1</v>
      </c>
      <c r="C113" s="321"/>
      <c r="D113" s="321"/>
      <c r="E113" s="321"/>
      <c r="F113" s="321"/>
      <c r="G113" s="321"/>
      <c r="H113" s="321"/>
      <c r="I113" s="321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4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4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6" t="s">
        <v>5</v>
      </c>
      <c r="J116" s="80" t="s">
        <v>6</v>
      </c>
    </row>
    <row r="117" spans="1:12" x14ac:dyDescent="0.25">
      <c r="G117" s="80"/>
      <c r="H117" s="80"/>
      <c r="I117" s="164"/>
      <c r="J117" s="80"/>
    </row>
    <row r="118" spans="1:12" ht="18.75" x14ac:dyDescent="0.25">
      <c r="A118" s="80">
        <v>1</v>
      </c>
      <c r="B118" s="167" t="s">
        <v>339</v>
      </c>
      <c r="E118" s="87"/>
      <c r="F118" s="87"/>
      <c r="G118" s="195"/>
      <c r="H118" s="195"/>
      <c r="I118" s="164"/>
      <c r="J118" s="80">
        <v>1</v>
      </c>
    </row>
    <row r="119" spans="1:12" x14ac:dyDescent="0.25">
      <c r="A119" s="80">
        <f>A118+1</f>
        <v>2</v>
      </c>
      <c r="B119" s="196"/>
      <c r="E119" s="87"/>
      <c r="F119" s="87"/>
      <c r="G119" s="195"/>
      <c r="H119" s="195"/>
      <c r="I119" s="164"/>
      <c r="J119" s="80">
        <f>J118+1</f>
        <v>2</v>
      </c>
    </row>
    <row r="120" spans="1:12" x14ac:dyDescent="0.25">
      <c r="A120" s="80">
        <f>A119+1</f>
        <v>3</v>
      </c>
      <c r="B120" s="167" t="s">
        <v>340</v>
      </c>
      <c r="E120" s="87"/>
      <c r="F120" s="87"/>
      <c r="G120" s="195"/>
      <c r="H120" s="195"/>
      <c r="I120" s="164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5"/>
      <c r="H121" s="195"/>
      <c r="I121" s="164"/>
      <c r="J121" s="80">
        <f>J120+1</f>
        <v>4</v>
      </c>
    </row>
    <row r="122" spans="1:12" x14ac:dyDescent="0.25">
      <c r="A122" s="80">
        <f t="shared" ref="A122:A183" si="4">A121+1</f>
        <v>5</v>
      </c>
      <c r="B122" s="197" t="s">
        <v>341</v>
      </c>
      <c r="C122" s="87"/>
      <c r="D122" s="87"/>
      <c r="E122" s="87"/>
      <c r="F122" s="87"/>
      <c r="G122" s="195"/>
      <c r="H122" s="195"/>
      <c r="I122" s="198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2" t="s">
        <v>342</v>
      </c>
      <c r="D123" s="87"/>
      <c r="E123" s="87"/>
      <c r="F123" s="87"/>
      <c r="G123" s="199">
        <f>G53</f>
        <v>5.68995753826581E-2</v>
      </c>
      <c r="H123" s="87"/>
      <c r="I123" s="164" t="s">
        <v>343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2" t="s">
        <v>344</v>
      </c>
      <c r="D124" s="87"/>
      <c r="E124" s="87"/>
      <c r="F124" s="87"/>
      <c r="G124" s="200">
        <v>3545.067068161326</v>
      </c>
      <c r="H124" s="87"/>
      <c r="I124" s="164" t="s">
        <v>345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2" t="s">
        <v>346</v>
      </c>
      <c r="D125" s="87"/>
      <c r="E125" s="87"/>
      <c r="F125" s="87"/>
      <c r="G125" s="201">
        <v>8977.4801324399996</v>
      </c>
      <c r="H125" s="87"/>
      <c r="I125" s="190" t="s">
        <v>347</v>
      </c>
      <c r="J125" s="80">
        <f t="shared" si="5"/>
        <v>8</v>
      </c>
      <c r="K125" s="87"/>
    </row>
    <row r="126" spans="1:12" ht="31.5" x14ac:dyDescent="0.25">
      <c r="A126" s="80">
        <f t="shared" si="4"/>
        <v>9</v>
      </c>
      <c r="B126" s="162" t="s">
        <v>348</v>
      </c>
      <c r="D126" s="87"/>
      <c r="E126" s="202"/>
      <c r="F126" s="87"/>
      <c r="G126" s="203">
        <v>4871929.9250013307</v>
      </c>
      <c r="H126" s="117" t="s">
        <v>16</v>
      </c>
      <c r="I126" s="164" t="s">
        <v>349</v>
      </c>
      <c r="J126" s="80">
        <f t="shared" si="5"/>
        <v>9</v>
      </c>
    </row>
    <row r="127" spans="1:12" x14ac:dyDescent="0.25">
      <c r="A127" s="80">
        <f t="shared" si="4"/>
        <v>10</v>
      </c>
      <c r="B127" s="162" t="s">
        <v>350</v>
      </c>
      <c r="D127" s="187"/>
      <c r="E127" s="87"/>
      <c r="F127" s="87"/>
      <c r="G127" s="204" t="s">
        <v>351</v>
      </c>
      <c r="H127" s="87"/>
      <c r="I127" s="164" t="s">
        <v>352</v>
      </c>
      <c r="J127" s="80">
        <f t="shared" si="5"/>
        <v>10</v>
      </c>
      <c r="L127" s="205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2" t="s">
        <v>353</v>
      </c>
      <c r="D129" s="87"/>
      <c r="E129" s="87"/>
      <c r="F129" s="87"/>
      <c r="G129" s="206">
        <f>(((G123)+(G125/G126))*G127-(G124/G126))/(1-G127)</f>
        <v>1.4693956021391969E-2</v>
      </c>
      <c r="H129" s="206"/>
      <c r="I129" s="164" t="s">
        <v>354</v>
      </c>
      <c r="J129" s="80">
        <f t="shared" si="5"/>
        <v>12</v>
      </c>
      <c r="L129" s="207"/>
    </row>
    <row r="130" spans="1:12" x14ac:dyDescent="0.25">
      <c r="A130" s="80">
        <f t="shared" si="4"/>
        <v>13</v>
      </c>
      <c r="B130" s="208" t="s">
        <v>355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9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7" t="s">
        <v>356</v>
      </c>
      <c r="C132" s="87"/>
      <c r="D132" s="87"/>
      <c r="E132" s="87"/>
      <c r="F132" s="87"/>
      <c r="G132" s="210"/>
      <c r="H132" s="210"/>
      <c r="I132" s="211"/>
      <c r="J132" s="80">
        <f t="shared" si="5"/>
        <v>15</v>
      </c>
      <c r="K132" s="212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10"/>
      <c r="H133" s="210"/>
      <c r="I133" s="213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7" t="s">
        <v>341</v>
      </c>
      <c r="C134" s="87"/>
      <c r="D134" s="87"/>
      <c r="E134" s="87"/>
      <c r="F134" s="87"/>
      <c r="G134" s="210"/>
      <c r="H134" s="210"/>
      <c r="I134" s="213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2" t="s">
        <v>342</v>
      </c>
      <c r="D135" s="87"/>
      <c r="E135" s="87"/>
      <c r="F135" s="87"/>
      <c r="G135" s="178">
        <f>G123</f>
        <v>5.68995753826581E-2</v>
      </c>
      <c r="H135" s="178"/>
      <c r="I135" s="164" t="s">
        <v>357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2" t="s">
        <v>358</v>
      </c>
      <c r="D136" s="87"/>
      <c r="E136" s="87"/>
      <c r="F136" s="87"/>
      <c r="G136" s="214">
        <v>0</v>
      </c>
      <c r="H136" s="178"/>
      <c r="I136" s="164" t="s">
        <v>359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2" t="s">
        <v>346</v>
      </c>
      <c r="D137" s="87"/>
      <c r="E137" s="87"/>
      <c r="F137" s="87"/>
      <c r="G137" s="214">
        <f>G125</f>
        <v>8977.4801324399996</v>
      </c>
      <c r="H137" s="214"/>
      <c r="I137" s="164" t="s">
        <v>360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2" t="s">
        <v>348</v>
      </c>
      <c r="D138" s="87"/>
      <c r="E138" s="87"/>
      <c r="F138" s="87"/>
      <c r="G138" s="215">
        <f>G126</f>
        <v>4871929.9250013307</v>
      </c>
      <c r="H138" s="117" t="s">
        <v>16</v>
      </c>
      <c r="I138" s="164" t="s">
        <v>361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2" t="s">
        <v>362</v>
      </c>
      <c r="D139" s="87"/>
      <c r="E139" s="87"/>
      <c r="F139" s="87"/>
      <c r="G139" s="206">
        <f>G129</f>
        <v>1.4693956021391969E-2</v>
      </c>
      <c r="H139" s="206"/>
      <c r="I139" s="164" t="s">
        <v>363</v>
      </c>
      <c r="J139" s="80">
        <f t="shared" si="5"/>
        <v>22</v>
      </c>
    </row>
    <row r="140" spans="1:12" x14ac:dyDescent="0.25">
      <c r="A140" s="80">
        <f t="shared" si="4"/>
        <v>23</v>
      </c>
      <c r="B140" s="162" t="s">
        <v>364</v>
      </c>
      <c r="D140" s="87"/>
      <c r="E140" s="87"/>
      <c r="F140" s="87"/>
      <c r="G140" s="204" t="s">
        <v>365</v>
      </c>
      <c r="H140" s="87"/>
      <c r="I140" s="164" t="s">
        <v>366</v>
      </c>
      <c r="J140" s="80">
        <f t="shared" si="5"/>
        <v>23</v>
      </c>
    </row>
    <row r="141" spans="1:12" x14ac:dyDescent="0.25">
      <c r="A141" s="80">
        <f t="shared" si="4"/>
        <v>24</v>
      </c>
      <c r="B141" s="163"/>
      <c r="D141" s="87"/>
      <c r="E141" s="87"/>
      <c r="F141" s="87"/>
      <c r="G141" s="216"/>
      <c r="H141" s="216"/>
      <c r="I141" s="213"/>
      <c r="J141" s="80">
        <f t="shared" si="5"/>
        <v>24</v>
      </c>
    </row>
    <row r="142" spans="1:12" x14ac:dyDescent="0.25">
      <c r="A142" s="80">
        <f t="shared" si="4"/>
        <v>25</v>
      </c>
      <c r="B142" s="162" t="s">
        <v>367</v>
      </c>
      <c r="C142" s="80"/>
      <c r="D142" s="80"/>
      <c r="E142" s="87"/>
      <c r="F142" s="87"/>
      <c r="G142" s="217">
        <f>(((G135)+(G137/G138)+G129)*G140-(G136/G138))/(1-G140)</f>
        <v>7.1212838963934022E-3</v>
      </c>
      <c r="H142" s="206"/>
      <c r="I142" s="164" t="s">
        <v>368</v>
      </c>
      <c r="J142" s="80">
        <f t="shared" si="5"/>
        <v>25</v>
      </c>
    </row>
    <row r="143" spans="1:12" x14ac:dyDescent="0.25">
      <c r="A143" s="80">
        <f t="shared" si="4"/>
        <v>26</v>
      </c>
      <c r="B143" s="208" t="s">
        <v>369</v>
      </c>
      <c r="G143" s="80"/>
      <c r="H143" s="80"/>
      <c r="I143" s="164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4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7" t="s">
        <v>370</v>
      </c>
      <c r="G145" s="206">
        <f>G142+G129</f>
        <v>2.1815239917785372E-2</v>
      </c>
      <c r="H145" s="206"/>
      <c r="I145" s="164" t="s">
        <v>371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4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7" t="s">
        <v>372</v>
      </c>
      <c r="G147" s="218">
        <f>G51</f>
        <v>7.3498652701225783E-2</v>
      </c>
      <c r="H147" s="87"/>
      <c r="I147" s="164" t="s">
        <v>373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8"/>
      <c r="H148" s="178"/>
      <c r="I148" s="164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7" t="s">
        <v>374</v>
      </c>
      <c r="G149" s="219">
        <f>G145+G147</f>
        <v>9.5313892619011159E-2</v>
      </c>
      <c r="H149" s="206"/>
      <c r="I149" s="164" t="s">
        <v>375</v>
      </c>
      <c r="J149" s="80">
        <f t="shared" si="5"/>
        <v>32</v>
      </c>
      <c r="K149" s="220"/>
      <c r="L149" s="207"/>
    </row>
    <row r="150" spans="1:12" ht="17.25" thickTop="1" thickBot="1" x14ac:dyDescent="0.3">
      <c r="A150" s="182">
        <f t="shared" si="4"/>
        <v>33</v>
      </c>
      <c r="B150" s="183"/>
      <c r="C150" s="183"/>
      <c r="D150" s="183"/>
      <c r="E150" s="183"/>
      <c r="F150" s="183"/>
      <c r="G150" s="182"/>
      <c r="H150" s="182"/>
      <c r="I150" s="184"/>
      <c r="J150" s="182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4"/>
      <c r="J151" s="80">
        <f t="shared" si="5"/>
        <v>34</v>
      </c>
    </row>
    <row r="152" spans="1:12" ht="18.75" x14ac:dyDescent="0.25">
      <c r="A152" s="80">
        <f t="shared" si="4"/>
        <v>35</v>
      </c>
      <c r="B152" s="167" t="s">
        <v>376</v>
      </c>
      <c r="E152" s="87"/>
      <c r="F152" s="87"/>
      <c r="G152" s="195"/>
      <c r="H152" s="195"/>
      <c r="I152" s="164"/>
      <c r="J152" s="80">
        <f t="shared" si="5"/>
        <v>35</v>
      </c>
    </row>
    <row r="153" spans="1:12" x14ac:dyDescent="0.25">
      <c r="A153" s="80">
        <f t="shared" si="4"/>
        <v>36</v>
      </c>
      <c r="B153" s="196"/>
      <c r="E153" s="87"/>
      <c r="F153" s="87"/>
      <c r="G153" s="195"/>
      <c r="H153" s="195"/>
      <c r="I153" s="164"/>
      <c r="J153" s="80">
        <f t="shared" si="5"/>
        <v>36</v>
      </c>
      <c r="L153" s="221"/>
    </row>
    <row r="154" spans="1:12" x14ac:dyDescent="0.25">
      <c r="A154" s="80">
        <f t="shared" si="4"/>
        <v>37</v>
      </c>
      <c r="B154" s="167" t="s">
        <v>340</v>
      </c>
      <c r="E154" s="87"/>
      <c r="F154" s="87"/>
      <c r="G154" s="195"/>
      <c r="H154" s="195"/>
      <c r="I154" s="164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5"/>
      <c r="H155" s="195"/>
      <c r="I155" s="164"/>
      <c r="J155" s="80">
        <f t="shared" si="5"/>
        <v>38</v>
      </c>
    </row>
    <row r="156" spans="1:12" x14ac:dyDescent="0.25">
      <c r="A156" s="80">
        <f t="shared" si="4"/>
        <v>39</v>
      </c>
      <c r="B156" s="197" t="s">
        <v>341</v>
      </c>
      <c r="C156" s="87"/>
      <c r="D156" s="87"/>
      <c r="E156" s="87"/>
      <c r="F156" s="87"/>
      <c r="G156" s="195"/>
      <c r="H156" s="195"/>
      <c r="I156" s="198"/>
      <c r="J156" s="80">
        <f t="shared" si="5"/>
        <v>39</v>
      </c>
    </row>
    <row r="157" spans="1:12" x14ac:dyDescent="0.25">
      <c r="A157" s="80">
        <f t="shared" si="4"/>
        <v>40</v>
      </c>
      <c r="B157" s="162" t="s">
        <v>377</v>
      </c>
      <c r="D157" s="87"/>
      <c r="E157" s="87"/>
      <c r="F157" s="87"/>
      <c r="G157" s="199">
        <f>G66</f>
        <v>2.8168106625078267E-3</v>
      </c>
      <c r="H157" s="87"/>
      <c r="I157" s="164" t="s">
        <v>378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2" t="s">
        <v>344</v>
      </c>
      <c r="D158" s="87"/>
      <c r="E158" s="87"/>
      <c r="F158" s="87"/>
      <c r="G158" s="222">
        <v>0</v>
      </c>
      <c r="H158" s="87"/>
      <c r="I158" s="164" t="s">
        <v>320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2" t="s">
        <v>346</v>
      </c>
      <c r="D159" s="87"/>
      <c r="E159" s="87"/>
      <c r="F159" s="87"/>
      <c r="G159" s="222">
        <v>0</v>
      </c>
      <c r="H159" s="87"/>
      <c r="I159" s="164" t="s">
        <v>320</v>
      </c>
      <c r="J159" s="80">
        <f t="shared" si="5"/>
        <v>42</v>
      </c>
      <c r="K159" s="87"/>
    </row>
    <row r="160" spans="1:12" ht="31.5" x14ac:dyDescent="0.25">
      <c r="A160" s="80">
        <f t="shared" si="4"/>
        <v>43</v>
      </c>
      <c r="B160" s="162" t="s">
        <v>348</v>
      </c>
      <c r="D160" s="87"/>
      <c r="E160" s="202"/>
      <c r="F160" s="87"/>
      <c r="G160" s="203">
        <v>4871929.9250013307</v>
      </c>
      <c r="H160" s="117" t="s">
        <v>16</v>
      </c>
      <c r="I160" s="164" t="s">
        <v>349</v>
      </c>
      <c r="J160" s="80">
        <f t="shared" si="5"/>
        <v>43</v>
      </c>
    </row>
    <row r="161" spans="1:12" x14ac:dyDescent="0.25">
      <c r="A161" s="80">
        <f t="shared" si="4"/>
        <v>44</v>
      </c>
      <c r="B161" s="162" t="s">
        <v>350</v>
      </c>
      <c r="D161" s="187"/>
      <c r="E161" s="87"/>
      <c r="F161" s="87"/>
      <c r="G161" s="204" t="s">
        <v>351</v>
      </c>
      <c r="H161" s="87"/>
      <c r="I161" s="164" t="s">
        <v>352</v>
      </c>
      <c r="J161" s="80">
        <f t="shared" si="5"/>
        <v>44</v>
      </c>
      <c r="L161" s="205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2" t="s">
        <v>353</v>
      </c>
      <c r="D163" s="87"/>
      <c r="E163" s="87"/>
      <c r="F163" s="87"/>
      <c r="G163" s="206">
        <f>(((G157)+(G159/G160))*G161-(G158/G160))/(1-G161)</f>
        <v>7.4877245459068799E-4</v>
      </c>
      <c r="H163" s="206"/>
      <c r="I163" s="164" t="s">
        <v>354</v>
      </c>
      <c r="J163" s="80">
        <f t="shared" si="5"/>
        <v>46</v>
      </c>
      <c r="L163" s="207"/>
    </row>
    <row r="164" spans="1:12" x14ac:dyDescent="0.25">
      <c r="A164" s="80">
        <f t="shared" si="4"/>
        <v>47</v>
      </c>
      <c r="B164" s="208" t="s">
        <v>355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7" t="s">
        <v>356</v>
      </c>
      <c r="C166" s="87"/>
      <c r="D166" s="87"/>
      <c r="E166" s="87"/>
      <c r="F166" s="87"/>
      <c r="G166" s="210"/>
      <c r="H166" s="210"/>
      <c r="I166" s="211"/>
      <c r="J166" s="80">
        <f t="shared" si="5"/>
        <v>49</v>
      </c>
      <c r="K166" s="212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10"/>
      <c r="H167" s="210"/>
      <c r="I167" s="213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7" t="s">
        <v>341</v>
      </c>
      <c r="C168" s="87"/>
      <c r="D168" s="87"/>
      <c r="E168" s="87"/>
      <c r="F168" s="87"/>
      <c r="G168" s="210"/>
      <c r="H168" s="210"/>
      <c r="I168" s="213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2" t="s">
        <v>377</v>
      </c>
      <c r="D169" s="87"/>
      <c r="E169" s="87"/>
      <c r="F169" s="87"/>
      <c r="G169" s="178">
        <f>G157</f>
        <v>2.8168106625078267E-3</v>
      </c>
      <c r="H169" s="178"/>
      <c r="I169" s="164" t="s">
        <v>379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2" t="s">
        <v>358</v>
      </c>
      <c r="D170" s="87"/>
      <c r="E170" s="87"/>
      <c r="F170" s="87"/>
      <c r="G170" s="222">
        <v>0</v>
      </c>
      <c r="H170" s="178"/>
      <c r="I170" s="164" t="s">
        <v>320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2" t="s">
        <v>346</v>
      </c>
      <c r="D171" s="87"/>
      <c r="E171" s="87"/>
      <c r="F171" s="87"/>
      <c r="G171" s="223">
        <f>G159</f>
        <v>0</v>
      </c>
      <c r="H171" s="214"/>
      <c r="I171" s="164" t="s">
        <v>380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2" t="s">
        <v>348</v>
      </c>
      <c r="D172" s="87"/>
      <c r="E172" s="87"/>
      <c r="F172" s="87"/>
      <c r="G172" s="215">
        <f>G160</f>
        <v>4871929.9250013307</v>
      </c>
      <c r="H172" s="117" t="s">
        <v>16</v>
      </c>
      <c r="I172" s="164" t="s">
        <v>381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2" t="s">
        <v>362</v>
      </c>
      <c r="D173" s="87"/>
      <c r="E173" s="87"/>
      <c r="F173" s="87"/>
      <c r="G173" s="206">
        <f>G163</f>
        <v>7.4877245459068799E-4</v>
      </c>
      <c r="H173" s="206"/>
      <c r="I173" s="164" t="s">
        <v>382</v>
      </c>
      <c r="J173" s="80">
        <f t="shared" si="5"/>
        <v>56</v>
      </c>
    </row>
    <row r="174" spans="1:12" x14ac:dyDescent="0.25">
      <c r="A174" s="80">
        <f t="shared" si="4"/>
        <v>57</v>
      </c>
      <c r="B174" s="162" t="s">
        <v>364</v>
      </c>
      <c r="D174" s="87"/>
      <c r="E174" s="87"/>
      <c r="F174" s="87"/>
      <c r="G174" s="204" t="s">
        <v>365</v>
      </c>
      <c r="H174" s="87"/>
      <c r="I174" s="164" t="s">
        <v>366</v>
      </c>
      <c r="J174" s="80">
        <f t="shared" si="5"/>
        <v>57</v>
      </c>
    </row>
    <row r="175" spans="1:12" x14ac:dyDescent="0.25">
      <c r="A175" s="80">
        <f t="shared" si="4"/>
        <v>58</v>
      </c>
      <c r="B175" s="163"/>
      <c r="D175" s="87"/>
      <c r="E175" s="87"/>
      <c r="F175" s="87"/>
      <c r="G175" s="216"/>
      <c r="H175" s="216"/>
      <c r="I175" s="213"/>
      <c r="J175" s="80">
        <f t="shared" si="5"/>
        <v>58</v>
      </c>
      <c r="K175" s="224"/>
    </row>
    <row r="176" spans="1:12" x14ac:dyDescent="0.25">
      <c r="A176" s="80">
        <f t="shared" si="4"/>
        <v>59</v>
      </c>
      <c r="B176" s="162" t="s">
        <v>367</v>
      </c>
      <c r="C176" s="80"/>
      <c r="D176" s="80"/>
      <c r="E176" s="87"/>
      <c r="F176" s="87"/>
      <c r="G176" s="217">
        <f>(((G169)+(G171/G172)+G163)*G174-(G170/G172))/(1-G174)</f>
        <v>3.4576299643649489E-4</v>
      </c>
      <c r="H176" s="206"/>
      <c r="I176" s="164" t="s">
        <v>368</v>
      </c>
      <c r="J176" s="80">
        <f t="shared" si="5"/>
        <v>59</v>
      </c>
    </row>
    <row r="177" spans="1:12" x14ac:dyDescent="0.25">
      <c r="A177" s="80">
        <f t="shared" si="4"/>
        <v>60</v>
      </c>
      <c r="B177" s="208" t="s">
        <v>369</v>
      </c>
      <c r="G177" s="80"/>
      <c r="H177" s="80"/>
      <c r="I177" s="164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4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7" t="s">
        <v>370</v>
      </c>
      <c r="G179" s="206">
        <f>G176+G163</f>
        <v>1.0945354510271828E-3</v>
      </c>
      <c r="H179" s="206"/>
      <c r="I179" s="164" t="s">
        <v>383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4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7" t="s">
        <v>384</v>
      </c>
      <c r="G181" s="217">
        <f>G64</f>
        <v>2.8168106625078267E-3</v>
      </c>
      <c r="H181" s="87"/>
      <c r="I181" s="164" t="s">
        <v>385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8"/>
      <c r="H182" s="178"/>
      <c r="I182" s="164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7" t="s">
        <v>386</v>
      </c>
      <c r="G183" s="219">
        <f>G179+G181</f>
        <v>3.9113461135350091E-3</v>
      </c>
      <c r="H183" s="206"/>
      <c r="I183" s="164" t="s">
        <v>387</v>
      </c>
      <c r="J183" s="80">
        <f t="shared" si="5"/>
        <v>66</v>
      </c>
      <c r="K183" s="220"/>
      <c r="L183" s="207"/>
    </row>
    <row r="184" spans="1:12" ht="16.5" thickTop="1" x14ac:dyDescent="0.25">
      <c r="B184" s="167"/>
      <c r="G184" s="225"/>
      <c r="H184" s="225"/>
      <c r="I184" s="164"/>
      <c r="J184" s="80"/>
      <c r="K184" s="220"/>
      <c r="L184" s="207"/>
    </row>
    <row r="185" spans="1:12" x14ac:dyDescent="0.25">
      <c r="B185" s="167"/>
      <c r="G185" s="225"/>
      <c r="H185" s="225"/>
      <c r="I185" s="164"/>
      <c r="J185" s="80"/>
      <c r="K185" s="220"/>
      <c r="L185" s="207"/>
    </row>
    <row r="186" spans="1:12" x14ac:dyDescent="0.25">
      <c r="A186" s="12" t="s">
        <v>16</v>
      </c>
      <c r="B186" s="5" t="str">
        <f>'[1]Pg7 Rev Stmt AL'!B47</f>
        <v>Items in BOLD have changed to correct the over-allocation of "Duplicate Charges (Company Energy Use)" Credit accounted for in FERC account 929.</v>
      </c>
      <c r="C186" s="226"/>
      <c r="D186" s="226"/>
      <c r="E186" s="226"/>
      <c r="F186" s="226"/>
      <c r="G186" s="227"/>
      <c r="H186" s="227"/>
      <c r="I186" s="228"/>
      <c r="J186" s="80"/>
    </row>
    <row r="187" spans="1:12" x14ac:dyDescent="0.25">
      <c r="A187" s="12"/>
      <c r="B187" s="5"/>
      <c r="C187" s="226"/>
      <c r="D187" s="226"/>
      <c r="E187" s="226"/>
      <c r="F187" s="226"/>
      <c r="G187" s="227"/>
      <c r="H187" s="227"/>
      <c r="I187" s="228"/>
      <c r="J187" s="80"/>
    </row>
    <row r="188" spans="1:12" x14ac:dyDescent="0.25">
      <c r="A188" s="12"/>
      <c r="B188" s="5"/>
      <c r="C188" s="226"/>
      <c r="D188" s="226"/>
      <c r="E188" s="226"/>
      <c r="F188" s="226"/>
      <c r="G188" s="227"/>
      <c r="H188" s="227"/>
      <c r="I188" s="228"/>
      <c r="J188" s="80"/>
    </row>
    <row r="189" spans="1:12" x14ac:dyDescent="0.25">
      <c r="B189" s="322" t="s">
        <v>152</v>
      </c>
      <c r="C189" s="322"/>
      <c r="D189" s="322"/>
      <c r="E189" s="322"/>
      <c r="F189" s="322"/>
      <c r="G189" s="322"/>
      <c r="H189" s="322"/>
      <c r="I189" s="322"/>
      <c r="J189" s="80"/>
    </row>
    <row r="190" spans="1:12" x14ac:dyDescent="0.25">
      <c r="B190" s="322" t="s">
        <v>244</v>
      </c>
      <c r="C190" s="322"/>
      <c r="D190" s="322"/>
      <c r="E190" s="322"/>
      <c r="F190" s="322"/>
      <c r="G190" s="322"/>
      <c r="H190" s="322"/>
      <c r="I190" s="322"/>
      <c r="J190" s="80"/>
    </row>
    <row r="191" spans="1:12" x14ac:dyDescent="0.25">
      <c r="B191" s="322" t="s">
        <v>245</v>
      </c>
      <c r="C191" s="322"/>
      <c r="D191" s="322"/>
      <c r="E191" s="322"/>
      <c r="F191" s="322"/>
      <c r="G191" s="322"/>
      <c r="H191" s="322"/>
      <c r="I191" s="322"/>
      <c r="J191" s="80"/>
    </row>
    <row r="192" spans="1:12" x14ac:dyDescent="0.25">
      <c r="B192" s="319" t="str">
        <f>B6</f>
        <v>Base Period &amp; True-Up Period 12 - Months Ending December 31, 2021</v>
      </c>
      <c r="C192" s="319"/>
      <c r="D192" s="319"/>
      <c r="E192" s="319"/>
      <c r="F192" s="319"/>
      <c r="G192" s="319"/>
      <c r="H192" s="319"/>
      <c r="I192" s="319"/>
      <c r="J192" s="80"/>
    </row>
    <row r="193" spans="1:10" x14ac:dyDescent="0.25">
      <c r="B193" s="320" t="s">
        <v>1</v>
      </c>
      <c r="C193" s="321"/>
      <c r="D193" s="321"/>
      <c r="E193" s="321"/>
      <c r="F193" s="321"/>
      <c r="G193" s="321"/>
      <c r="H193" s="321"/>
      <c r="I193" s="321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4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4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6" t="s">
        <v>5</v>
      </c>
      <c r="J196" s="80" t="s">
        <v>6</v>
      </c>
    </row>
    <row r="197" spans="1:10" x14ac:dyDescent="0.25">
      <c r="G197" s="80"/>
      <c r="H197" s="80"/>
      <c r="I197" s="164"/>
      <c r="J197" s="80"/>
    </row>
    <row r="198" spans="1:10" ht="18.75" x14ac:dyDescent="0.25">
      <c r="A198" s="80">
        <v>1</v>
      </c>
      <c r="B198" s="167" t="s">
        <v>388</v>
      </c>
      <c r="E198" s="87"/>
      <c r="F198" s="87"/>
      <c r="G198" s="195"/>
      <c r="H198" s="195"/>
      <c r="I198" s="164"/>
      <c r="J198" s="80">
        <v>1</v>
      </c>
    </row>
    <row r="199" spans="1:10" x14ac:dyDescent="0.25">
      <c r="A199" s="80">
        <f>A198+1</f>
        <v>2</v>
      </c>
      <c r="B199" s="196"/>
      <c r="E199" s="87"/>
      <c r="F199" s="87"/>
      <c r="G199" s="195"/>
      <c r="H199" s="195"/>
      <c r="I199" s="164"/>
      <c r="J199" s="80">
        <f>J198+1</f>
        <v>2</v>
      </c>
    </row>
    <row r="200" spans="1:10" x14ac:dyDescent="0.25">
      <c r="A200" s="80">
        <f>A199+1</f>
        <v>3</v>
      </c>
      <c r="B200" s="167" t="s">
        <v>340</v>
      </c>
      <c r="E200" s="87"/>
      <c r="F200" s="87"/>
      <c r="G200" s="195"/>
      <c r="H200" s="195"/>
      <c r="I200" s="164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5"/>
      <c r="H201" s="195"/>
      <c r="I201" s="164"/>
      <c r="J201" s="80">
        <f>J200+1</f>
        <v>4</v>
      </c>
    </row>
    <row r="202" spans="1:10" x14ac:dyDescent="0.25">
      <c r="A202" s="80">
        <f t="shared" ref="A202:A263" si="6">A201+1</f>
        <v>5</v>
      </c>
      <c r="B202" s="197" t="s">
        <v>341</v>
      </c>
      <c r="C202" s="87"/>
      <c r="D202" s="87"/>
      <c r="E202" s="87"/>
      <c r="F202" s="87"/>
      <c r="G202" s="195"/>
      <c r="H202" s="195"/>
      <c r="I202" s="198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2" t="s">
        <v>342</v>
      </c>
      <c r="D203" s="87"/>
      <c r="E203" s="87"/>
      <c r="F203" s="87"/>
      <c r="G203" s="199">
        <f>G90</f>
        <v>0</v>
      </c>
      <c r="H203" s="87"/>
      <c r="I203" s="164" t="s">
        <v>389</v>
      </c>
      <c r="J203" s="80">
        <f t="shared" si="7"/>
        <v>6</v>
      </c>
    </row>
    <row r="204" spans="1:10" x14ac:dyDescent="0.25">
      <c r="A204" s="80">
        <f t="shared" si="6"/>
        <v>7</v>
      </c>
      <c r="B204" s="162" t="s">
        <v>344</v>
      </c>
      <c r="D204" s="87"/>
      <c r="E204" s="87"/>
      <c r="F204" s="87"/>
      <c r="G204" s="222">
        <v>0</v>
      </c>
      <c r="H204" s="87"/>
      <c r="I204" s="164" t="s">
        <v>390</v>
      </c>
      <c r="J204" s="80">
        <f t="shared" si="7"/>
        <v>7</v>
      </c>
    </row>
    <row r="205" spans="1:10" x14ac:dyDescent="0.25">
      <c r="A205" s="80">
        <f t="shared" si="6"/>
        <v>8</v>
      </c>
      <c r="B205" s="162" t="s">
        <v>346</v>
      </c>
      <c r="D205" s="87"/>
      <c r="E205" s="87"/>
      <c r="F205" s="87"/>
      <c r="G205" s="201">
        <v>0</v>
      </c>
      <c r="H205" s="87"/>
      <c r="I205" s="190"/>
      <c r="J205" s="80">
        <f t="shared" si="7"/>
        <v>8</v>
      </c>
    </row>
    <row r="206" spans="1:10" x14ac:dyDescent="0.25">
      <c r="A206" s="80">
        <f t="shared" si="6"/>
        <v>9</v>
      </c>
      <c r="B206" s="162" t="s">
        <v>391</v>
      </c>
      <c r="D206" s="87"/>
      <c r="E206" s="87"/>
      <c r="F206" s="87"/>
      <c r="G206" s="200">
        <v>0</v>
      </c>
      <c r="H206" s="87"/>
      <c r="I206" s="164" t="s">
        <v>392</v>
      </c>
      <c r="J206" s="80">
        <f t="shared" si="7"/>
        <v>9</v>
      </c>
    </row>
    <row r="207" spans="1:10" x14ac:dyDescent="0.25">
      <c r="A207" s="80">
        <f t="shared" si="6"/>
        <v>10</v>
      </c>
      <c r="B207" s="162" t="s">
        <v>350</v>
      </c>
      <c r="D207" s="87"/>
      <c r="E207" s="87"/>
      <c r="F207" s="87"/>
      <c r="G207" s="229" t="str">
        <f>G127</f>
        <v>21%</v>
      </c>
      <c r="H207" s="87"/>
      <c r="I207" s="164" t="s">
        <v>393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2" t="s">
        <v>394</v>
      </c>
      <c r="D209" s="87"/>
      <c r="E209" s="87"/>
      <c r="F209" s="87"/>
      <c r="G209" s="206">
        <f>IFERROR((((G203)+(G205/G206))*G207-(G204/G206))/(1-G207),0)</f>
        <v>0</v>
      </c>
      <c r="H209" s="206"/>
      <c r="I209" s="164" t="s">
        <v>395</v>
      </c>
      <c r="J209" s="80">
        <f t="shared" si="7"/>
        <v>12</v>
      </c>
    </row>
    <row r="210" spans="1:10" x14ac:dyDescent="0.25">
      <c r="A210" s="80">
        <f t="shared" si="6"/>
        <v>13</v>
      </c>
      <c r="B210" s="208" t="s">
        <v>355</v>
      </c>
      <c r="D210" s="208"/>
      <c r="G210" s="178"/>
      <c r="H210" s="178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7" t="s">
        <v>356</v>
      </c>
      <c r="C212" s="87"/>
      <c r="D212" s="87"/>
      <c r="E212" s="87"/>
      <c r="F212" s="87"/>
      <c r="G212" s="210"/>
      <c r="H212" s="210"/>
      <c r="I212" s="211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10"/>
      <c r="H213" s="210"/>
      <c r="I213" s="198"/>
      <c r="J213" s="80">
        <f t="shared" si="7"/>
        <v>16</v>
      </c>
    </row>
    <row r="214" spans="1:10" x14ac:dyDescent="0.25">
      <c r="A214" s="80">
        <f t="shared" si="6"/>
        <v>17</v>
      </c>
      <c r="B214" s="197" t="s">
        <v>341</v>
      </c>
      <c r="C214" s="87"/>
      <c r="D214" s="87"/>
      <c r="E214" s="87"/>
      <c r="F214" s="87"/>
      <c r="G214" s="210"/>
      <c r="H214" s="210"/>
      <c r="I214" s="198"/>
      <c r="J214" s="80">
        <f t="shared" si="7"/>
        <v>17</v>
      </c>
    </row>
    <row r="215" spans="1:10" x14ac:dyDescent="0.25">
      <c r="A215" s="80">
        <f t="shared" si="6"/>
        <v>18</v>
      </c>
      <c r="B215" s="162" t="s">
        <v>342</v>
      </c>
      <c r="D215" s="87"/>
      <c r="E215" s="87"/>
      <c r="F215" s="87"/>
      <c r="G215" s="178">
        <f>G203</f>
        <v>0</v>
      </c>
      <c r="H215" s="178"/>
      <c r="I215" s="164" t="s">
        <v>357</v>
      </c>
      <c r="J215" s="80">
        <f t="shared" si="7"/>
        <v>18</v>
      </c>
    </row>
    <row r="216" spans="1:10" x14ac:dyDescent="0.25">
      <c r="A216" s="80">
        <f t="shared" si="6"/>
        <v>19</v>
      </c>
      <c r="B216" s="162" t="s">
        <v>358</v>
      </c>
      <c r="D216" s="87"/>
      <c r="E216" s="87"/>
      <c r="F216" s="87"/>
      <c r="G216" s="222">
        <v>0</v>
      </c>
      <c r="H216" s="178"/>
      <c r="I216" s="164" t="s">
        <v>390</v>
      </c>
      <c r="J216" s="80">
        <f t="shared" si="7"/>
        <v>19</v>
      </c>
    </row>
    <row r="217" spans="1:10" x14ac:dyDescent="0.25">
      <c r="A217" s="80">
        <f t="shared" si="6"/>
        <v>20</v>
      </c>
      <c r="B217" s="162" t="s">
        <v>346</v>
      </c>
      <c r="D217" s="87"/>
      <c r="E217" s="87"/>
      <c r="F217" s="87"/>
      <c r="G217" s="214">
        <f>G205</f>
        <v>0</v>
      </c>
      <c r="H217" s="214"/>
      <c r="I217" s="164" t="s">
        <v>360</v>
      </c>
      <c r="J217" s="80">
        <f t="shared" si="7"/>
        <v>20</v>
      </c>
    </row>
    <row r="218" spans="1:10" x14ac:dyDescent="0.25">
      <c r="A218" s="80">
        <f t="shared" si="6"/>
        <v>21</v>
      </c>
      <c r="B218" s="162" t="s">
        <v>391</v>
      </c>
      <c r="D218" s="87"/>
      <c r="E218" s="87"/>
      <c r="F218" s="87"/>
      <c r="G218" s="214">
        <f>G206</f>
        <v>0</v>
      </c>
      <c r="H218" s="214"/>
      <c r="I218" s="164" t="s">
        <v>361</v>
      </c>
      <c r="J218" s="80">
        <f t="shared" si="7"/>
        <v>21</v>
      </c>
    </row>
    <row r="219" spans="1:10" x14ac:dyDescent="0.25">
      <c r="A219" s="80">
        <f t="shared" si="6"/>
        <v>22</v>
      </c>
      <c r="B219" s="162" t="s">
        <v>362</v>
      </c>
      <c r="D219" s="87"/>
      <c r="E219" s="87"/>
      <c r="F219" s="87"/>
      <c r="G219" s="206">
        <f>G209</f>
        <v>0</v>
      </c>
      <c r="H219" s="206"/>
      <c r="I219" s="164" t="s">
        <v>363</v>
      </c>
      <c r="J219" s="80">
        <f t="shared" si="7"/>
        <v>22</v>
      </c>
    </row>
    <row r="220" spans="1:10" x14ac:dyDescent="0.25">
      <c r="A220" s="80">
        <f t="shared" si="6"/>
        <v>23</v>
      </c>
      <c r="B220" s="162" t="s">
        <v>364</v>
      </c>
      <c r="D220" s="87"/>
      <c r="E220" s="87"/>
      <c r="F220" s="87"/>
      <c r="G220" s="230" t="str">
        <f>G140</f>
        <v>8.84%</v>
      </c>
      <c r="H220" s="87"/>
      <c r="I220" s="164" t="s">
        <v>396</v>
      </c>
      <c r="J220" s="80">
        <f t="shared" si="7"/>
        <v>23</v>
      </c>
    </row>
    <row r="221" spans="1:10" x14ac:dyDescent="0.25">
      <c r="A221" s="80">
        <f t="shared" si="6"/>
        <v>24</v>
      </c>
      <c r="B221" s="163"/>
      <c r="D221" s="87"/>
      <c r="E221" s="87"/>
      <c r="F221" s="87"/>
      <c r="G221" s="216"/>
      <c r="H221" s="216"/>
      <c r="I221" s="213"/>
      <c r="J221" s="80">
        <f t="shared" si="7"/>
        <v>24</v>
      </c>
    </row>
    <row r="222" spans="1:10" x14ac:dyDescent="0.25">
      <c r="A222" s="80">
        <f t="shared" si="6"/>
        <v>25</v>
      </c>
      <c r="B222" s="162" t="s">
        <v>367</v>
      </c>
      <c r="C222" s="80"/>
      <c r="D222" s="80"/>
      <c r="E222" s="87"/>
      <c r="F222" s="87"/>
      <c r="G222" s="217">
        <f>IFERROR((((G215)+(G217/G218)+G209)*G220-(G216/G218))/(1-G220),0)</f>
        <v>0</v>
      </c>
      <c r="H222" s="206"/>
      <c r="I222" s="164" t="s">
        <v>368</v>
      </c>
      <c r="J222" s="80">
        <f t="shared" si="7"/>
        <v>25</v>
      </c>
    </row>
    <row r="223" spans="1:10" x14ac:dyDescent="0.25">
      <c r="A223" s="80">
        <f t="shared" si="6"/>
        <v>26</v>
      </c>
      <c r="B223" s="208" t="s">
        <v>369</v>
      </c>
      <c r="D223" s="208"/>
      <c r="G223" s="80"/>
      <c r="H223" s="80"/>
      <c r="I223" s="164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4"/>
      <c r="J224" s="80">
        <f t="shared" si="7"/>
        <v>27</v>
      </c>
    </row>
    <row r="225" spans="1:10" x14ac:dyDescent="0.25">
      <c r="A225" s="80">
        <f t="shared" si="6"/>
        <v>28</v>
      </c>
      <c r="B225" s="167" t="s">
        <v>370</v>
      </c>
      <c r="G225" s="206">
        <f>G222+G209</f>
        <v>0</v>
      </c>
      <c r="H225" s="206"/>
      <c r="I225" s="164" t="s">
        <v>371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4"/>
      <c r="J226" s="80">
        <f t="shared" si="7"/>
        <v>29</v>
      </c>
    </row>
    <row r="227" spans="1:10" x14ac:dyDescent="0.25">
      <c r="A227" s="80">
        <f t="shared" si="6"/>
        <v>30</v>
      </c>
      <c r="B227" s="167" t="s">
        <v>397</v>
      </c>
      <c r="G227" s="218">
        <f>G88</f>
        <v>1.6599077318567683E-2</v>
      </c>
      <c r="H227" s="87"/>
      <c r="I227" s="164" t="s">
        <v>398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4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7" t="s">
        <v>399</v>
      </c>
      <c r="G229" s="219">
        <f>G225+G227</f>
        <v>1.6599077318567683E-2</v>
      </c>
      <c r="H229" s="206"/>
      <c r="I229" s="164" t="s">
        <v>375</v>
      </c>
      <c r="J229" s="80">
        <f t="shared" si="7"/>
        <v>32</v>
      </c>
    </row>
    <row r="230" spans="1:10" ht="17.25" thickTop="1" thickBot="1" x14ac:dyDescent="0.3">
      <c r="A230" s="182">
        <f t="shared" si="6"/>
        <v>33</v>
      </c>
      <c r="B230" s="191"/>
      <c r="C230" s="183"/>
      <c r="D230" s="183"/>
      <c r="E230" s="183"/>
      <c r="F230" s="183"/>
      <c r="G230" s="231"/>
      <c r="H230" s="231"/>
      <c r="I230" s="184"/>
      <c r="J230" s="182">
        <f t="shared" si="7"/>
        <v>33</v>
      </c>
    </row>
    <row r="231" spans="1:10" x14ac:dyDescent="0.25">
      <c r="A231" s="80">
        <f t="shared" si="6"/>
        <v>34</v>
      </c>
      <c r="B231" s="167"/>
      <c r="G231" s="206"/>
      <c r="H231" s="206"/>
      <c r="I231" s="164"/>
      <c r="J231" s="80">
        <f t="shared" si="7"/>
        <v>34</v>
      </c>
    </row>
    <row r="232" spans="1:10" ht="18.75" x14ac:dyDescent="0.25">
      <c r="A232" s="80">
        <f t="shared" si="6"/>
        <v>35</v>
      </c>
      <c r="B232" s="167" t="s">
        <v>376</v>
      </c>
      <c r="E232" s="87"/>
      <c r="F232" s="87"/>
      <c r="G232" s="195"/>
      <c r="H232" s="195"/>
      <c r="I232" s="164"/>
      <c r="J232" s="80">
        <f t="shared" si="7"/>
        <v>35</v>
      </c>
    </row>
    <row r="233" spans="1:10" x14ac:dyDescent="0.25">
      <c r="A233" s="80">
        <f t="shared" si="6"/>
        <v>36</v>
      </c>
      <c r="B233" s="196"/>
      <c r="E233" s="87"/>
      <c r="F233" s="87"/>
      <c r="G233" s="195"/>
      <c r="H233" s="195"/>
      <c r="I233" s="164"/>
      <c r="J233" s="80">
        <f t="shared" si="7"/>
        <v>36</v>
      </c>
    </row>
    <row r="234" spans="1:10" x14ac:dyDescent="0.25">
      <c r="A234" s="80">
        <f t="shared" si="6"/>
        <v>37</v>
      </c>
      <c r="B234" s="167" t="s">
        <v>340</v>
      </c>
      <c r="E234" s="87"/>
      <c r="F234" s="87"/>
      <c r="G234" s="195"/>
      <c r="H234" s="195"/>
      <c r="I234" s="164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5"/>
      <c r="H235" s="195"/>
      <c r="I235" s="164"/>
      <c r="J235" s="80">
        <f t="shared" si="7"/>
        <v>38</v>
      </c>
    </row>
    <row r="236" spans="1:10" x14ac:dyDescent="0.25">
      <c r="A236" s="80">
        <f t="shared" si="6"/>
        <v>39</v>
      </c>
      <c r="B236" s="197" t="s">
        <v>341</v>
      </c>
      <c r="C236" s="87"/>
      <c r="D236" s="87"/>
      <c r="E236" s="87"/>
      <c r="F236" s="87"/>
      <c r="G236" s="195"/>
      <c r="H236" s="195"/>
      <c r="I236" s="198"/>
      <c r="J236" s="80">
        <f t="shared" si="7"/>
        <v>39</v>
      </c>
    </row>
    <row r="237" spans="1:10" x14ac:dyDescent="0.25">
      <c r="A237" s="80">
        <f t="shared" si="6"/>
        <v>40</v>
      </c>
      <c r="B237" s="162" t="s">
        <v>377</v>
      </c>
      <c r="D237" s="87"/>
      <c r="E237" s="87"/>
      <c r="F237" s="87"/>
      <c r="G237" s="199">
        <f>G103</f>
        <v>0</v>
      </c>
      <c r="H237" s="87"/>
      <c r="I237" s="164" t="s">
        <v>400</v>
      </c>
      <c r="J237" s="80">
        <f t="shared" si="7"/>
        <v>40</v>
      </c>
    </row>
    <row r="238" spans="1:10" x14ac:dyDescent="0.25">
      <c r="A238" s="80">
        <f t="shared" si="6"/>
        <v>41</v>
      </c>
      <c r="B238" s="162" t="s">
        <v>344</v>
      </c>
      <c r="D238" s="87"/>
      <c r="E238" s="87"/>
      <c r="F238" s="87"/>
      <c r="G238" s="222">
        <v>0</v>
      </c>
      <c r="H238" s="87"/>
      <c r="I238" s="164" t="s">
        <v>390</v>
      </c>
      <c r="J238" s="80">
        <f t="shared" si="7"/>
        <v>41</v>
      </c>
    </row>
    <row r="239" spans="1:10" x14ac:dyDescent="0.25">
      <c r="A239" s="80">
        <f t="shared" si="6"/>
        <v>42</v>
      </c>
      <c r="B239" s="162" t="s">
        <v>346</v>
      </c>
      <c r="D239" s="87"/>
      <c r="E239" s="87"/>
      <c r="F239" s="87"/>
      <c r="G239" s="201">
        <v>0</v>
      </c>
      <c r="H239" s="87"/>
      <c r="I239" s="190"/>
      <c r="J239" s="80">
        <f t="shared" si="7"/>
        <v>42</v>
      </c>
    </row>
    <row r="240" spans="1:10" x14ac:dyDescent="0.25">
      <c r="A240" s="80">
        <f t="shared" si="6"/>
        <v>43</v>
      </c>
      <c r="B240" s="162" t="s">
        <v>391</v>
      </c>
      <c r="D240" s="87"/>
      <c r="E240" s="87"/>
      <c r="F240" s="87"/>
      <c r="G240" s="200">
        <v>0</v>
      </c>
      <c r="H240" s="87"/>
      <c r="I240" s="164" t="s">
        <v>392</v>
      </c>
      <c r="J240" s="80">
        <f t="shared" si="7"/>
        <v>43</v>
      </c>
    </row>
    <row r="241" spans="1:10" x14ac:dyDescent="0.25">
      <c r="A241" s="80">
        <f t="shared" si="6"/>
        <v>44</v>
      </c>
      <c r="B241" s="162" t="s">
        <v>350</v>
      </c>
      <c r="D241" s="87"/>
      <c r="E241" s="87"/>
      <c r="F241" s="87"/>
      <c r="G241" s="229" t="str">
        <f>G161</f>
        <v>21%</v>
      </c>
      <c r="H241" s="87"/>
      <c r="I241" s="164" t="s">
        <v>401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2" t="s">
        <v>353</v>
      </c>
      <c r="D243" s="87"/>
      <c r="E243" s="87"/>
      <c r="F243" s="87"/>
      <c r="G243" s="206">
        <f>IFERROR((((G237)+(G239/G240))*G241-(G238/G240))/(1-G241),0)</f>
        <v>0</v>
      </c>
      <c r="H243" s="206"/>
      <c r="I243" s="164" t="s">
        <v>395</v>
      </c>
      <c r="J243" s="80">
        <f t="shared" si="7"/>
        <v>46</v>
      </c>
    </row>
    <row r="244" spans="1:10" x14ac:dyDescent="0.25">
      <c r="A244" s="80">
        <f t="shared" si="6"/>
        <v>47</v>
      </c>
      <c r="B244" s="208" t="s">
        <v>355</v>
      </c>
      <c r="D244" s="208"/>
      <c r="G244" s="178"/>
      <c r="H244" s="178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7" t="s">
        <v>356</v>
      </c>
      <c r="C246" s="87"/>
      <c r="D246" s="87"/>
      <c r="E246" s="87"/>
      <c r="F246" s="87"/>
      <c r="G246" s="210"/>
      <c r="H246" s="210"/>
      <c r="I246" s="211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10"/>
      <c r="H247" s="210"/>
      <c r="I247" s="198"/>
      <c r="J247" s="80">
        <f t="shared" si="7"/>
        <v>50</v>
      </c>
    </row>
    <row r="248" spans="1:10" x14ac:dyDescent="0.25">
      <c r="A248" s="80">
        <f t="shared" si="6"/>
        <v>51</v>
      </c>
      <c r="B248" s="197" t="s">
        <v>341</v>
      </c>
      <c r="C248" s="87"/>
      <c r="D248" s="87"/>
      <c r="E248" s="87"/>
      <c r="F248" s="87"/>
      <c r="G248" s="210"/>
      <c r="H248" s="210"/>
      <c r="I248" s="198"/>
      <c r="J248" s="80">
        <f t="shared" si="7"/>
        <v>51</v>
      </c>
    </row>
    <row r="249" spans="1:10" x14ac:dyDescent="0.25">
      <c r="A249" s="80">
        <f t="shared" si="6"/>
        <v>52</v>
      </c>
      <c r="B249" s="162" t="s">
        <v>377</v>
      </c>
      <c r="D249" s="87"/>
      <c r="E249" s="87"/>
      <c r="F249" s="87"/>
      <c r="G249" s="178">
        <f>G237</f>
        <v>0</v>
      </c>
      <c r="H249" s="178"/>
      <c r="I249" s="164" t="s">
        <v>379</v>
      </c>
      <c r="J249" s="80">
        <f t="shared" si="7"/>
        <v>52</v>
      </c>
    </row>
    <row r="250" spans="1:10" x14ac:dyDescent="0.25">
      <c r="A250" s="80">
        <f t="shared" si="6"/>
        <v>53</v>
      </c>
      <c r="B250" s="162" t="s">
        <v>358</v>
      </c>
      <c r="D250" s="87"/>
      <c r="E250" s="87"/>
      <c r="F250" s="87"/>
      <c r="G250" s="222">
        <v>0</v>
      </c>
      <c r="H250" s="178"/>
      <c r="I250" s="164" t="s">
        <v>390</v>
      </c>
      <c r="J250" s="80">
        <f t="shared" si="7"/>
        <v>53</v>
      </c>
    </row>
    <row r="251" spans="1:10" x14ac:dyDescent="0.25">
      <c r="A251" s="80">
        <f t="shared" si="6"/>
        <v>54</v>
      </c>
      <c r="B251" s="162" t="s">
        <v>346</v>
      </c>
      <c r="D251" s="87"/>
      <c r="E251" s="87"/>
      <c r="F251" s="87"/>
      <c r="G251" s="214">
        <f>G239</f>
        <v>0</v>
      </c>
      <c r="H251" s="214"/>
      <c r="I251" s="164" t="s">
        <v>380</v>
      </c>
      <c r="J251" s="80">
        <f t="shared" si="7"/>
        <v>54</v>
      </c>
    </row>
    <row r="252" spans="1:10" x14ac:dyDescent="0.25">
      <c r="A252" s="80">
        <f t="shared" si="6"/>
        <v>55</v>
      </c>
      <c r="B252" s="162" t="s">
        <v>391</v>
      </c>
      <c r="D252" s="87"/>
      <c r="E252" s="87"/>
      <c r="F252" s="87"/>
      <c r="G252" s="214">
        <f>G240</f>
        <v>0</v>
      </c>
      <c r="H252" s="214"/>
      <c r="I252" s="164" t="s">
        <v>381</v>
      </c>
      <c r="J252" s="80">
        <f t="shared" si="7"/>
        <v>55</v>
      </c>
    </row>
    <row r="253" spans="1:10" x14ac:dyDescent="0.25">
      <c r="A253" s="80">
        <f t="shared" si="6"/>
        <v>56</v>
      </c>
      <c r="B253" s="162" t="s">
        <v>362</v>
      </c>
      <c r="D253" s="87"/>
      <c r="E253" s="87"/>
      <c r="F253" s="87"/>
      <c r="G253" s="206">
        <f>G243</f>
        <v>0</v>
      </c>
      <c r="H253" s="206"/>
      <c r="I253" s="164" t="s">
        <v>382</v>
      </c>
      <c r="J253" s="80">
        <f t="shared" si="7"/>
        <v>56</v>
      </c>
    </row>
    <row r="254" spans="1:10" x14ac:dyDescent="0.25">
      <c r="A254" s="80">
        <f t="shared" si="6"/>
        <v>57</v>
      </c>
      <c r="B254" s="162" t="s">
        <v>364</v>
      </c>
      <c r="D254" s="87"/>
      <c r="E254" s="87"/>
      <c r="F254" s="87"/>
      <c r="G254" s="230" t="str">
        <f>G174</f>
        <v>8.84%</v>
      </c>
      <c r="H254" s="87"/>
      <c r="I254" s="164" t="s">
        <v>402</v>
      </c>
      <c r="J254" s="80">
        <f t="shared" si="7"/>
        <v>57</v>
      </c>
    </row>
    <row r="255" spans="1:10" x14ac:dyDescent="0.25">
      <c r="A255" s="80">
        <f t="shared" si="6"/>
        <v>58</v>
      </c>
      <c r="B255" s="163"/>
      <c r="D255" s="87"/>
      <c r="E255" s="87"/>
      <c r="F255" s="87"/>
      <c r="G255" s="216"/>
      <c r="H255" s="216"/>
      <c r="I255" s="213"/>
      <c r="J255" s="80">
        <f t="shared" si="7"/>
        <v>58</v>
      </c>
    </row>
    <row r="256" spans="1:10" x14ac:dyDescent="0.25">
      <c r="A256" s="80">
        <f t="shared" si="6"/>
        <v>59</v>
      </c>
      <c r="B256" s="162" t="s">
        <v>367</v>
      </c>
      <c r="C256" s="80"/>
      <c r="D256" s="80"/>
      <c r="E256" s="87"/>
      <c r="F256" s="87"/>
      <c r="G256" s="217">
        <f>IFERROR((((G249)+(G251/G252)+G243)*G254-(G250/G252))/(1-G254),0)</f>
        <v>0</v>
      </c>
      <c r="H256" s="206"/>
      <c r="I256" s="164" t="s">
        <v>368</v>
      </c>
      <c r="J256" s="80">
        <f t="shared" si="7"/>
        <v>59</v>
      </c>
    </row>
    <row r="257" spans="1:10" x14ac:dyDescent="0.25">
      <c r="A257" s="80">
        <f t="shared" si="6"/>
        <v>60</v>
      </c>
      <c r="B257" s="208" t="s">
        <v>369</v>
      </c>
      <c r="D257" s="208"/>
      <c r="G257" s="80"/>
      <c r="H257" s="80"/>
      <c r="I257" s="164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4"/>
      <c r="J258" s="80">
        <f t="shared" si="7"/>
        <v>61</v>
      </c>
    </row>
    <row r="259" spans="1:10" x14ac:dyDescent="0.25">
      <c r="A259" s="80">
        <f t="shared" si="6"/>
        <v>62</v>
      </c>
      <c r="B259" s="167" t="s">
        <v>370</v>
      </c>
      <c r="G259" s="206">
        <f>G256+G243</f>
        <v>0</v>
      </c>
      <c r="H259" s="206"/>
      <c r="I259" s="164" t="s">
        <v>383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4"/>
      <c r="J260" s="80">
        <f t="shared" si="7"/>
        <v>63</v>
      </c>
    </row>
    <row r="261" spans="1:10" x14ac:dyDescent="0.25">
      <c r="A261" s="80">
        <f t="shared" si="6"/>
        <v>64</v>
      </c>
      <c r="B261" s="167" t="s">
        <v>384</v>
      </c>
      <c r="G261" s="218">
        <f>G101</f>
        <v>0</v>
      </c>
      <c r="H261" s="87"/>
      <c r="I261" s="164" t="s">
        <v>403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4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7" t="s">
        <v>386</v>
      </c>
      <c r="G263" s="219">
        <f>G259+G261</f>
        <v>0</v>
      </c>
      <c r="H263" s="206"/>
      <c r="I263" s="164" t="s">
        <v>387</v>
      </c>
      <c r="J263" s="80">
        <f t="shared" si="7"/>
        <v>66</v>
      </c>
    </row>
    <row r="264" spans="1:10" ht="16.5" thickTop="1" x14ac:dyDescent="0.25"/>
    <row r="266" spans="1:10" ht="18.75" x14ac:dyDescent="0.25">
      <c r="A266" s="189">
        <v>1</v>
      </c>
      <c r="B266" s="162" t="s">
        <v>404</v>
      </c>
    </row>
    <row r="268" spans="1:10" ht="18.75" x14ac:dyDescent="0.25">
      <c r="A268" s="189"/>
    </row>
  </sheetData>
  <mergeCells count="20">
    <mergeCell ref="B192:I192"/>
    <mergeCell ref="B193:I193"/>
    <mergeCell ref="B111:I111"/>
    <mergeCell ref="B112:I112"/>
    <mergeCell ref="B113:I113"/>
    <mergeCell ref="B189:I189"/>
    <mergeCell ref="B190:I190"/>
    <mergeCell ref="B191:I191"/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83"/>
  <sheetViews>
    <sheetView tabSelected="1" view="pageBreakPreview" zoomScale="60" zoomScaleNormal="80" workbookViewId="0">
      <selection activeCell="N22" sqref="N22"/>
    </sheetView>
  </sheetViews>
  <sheetFormatPr defaultColWidth="9.140625" defaultRowHeight="15.75" x14ac:dyDescent="0.25"/>
  <cols>
    <col min="1" max="1" width="5.140625" style="88" customWidth="1"/>
    <col min="2" max="2" width="12.5703125" style="86" customWidth="1"/>
    <col min="3" max="3" width="20" style="86" customWidth="1"/>
    <col min="4" max="8" width="21.5703125" style="86" customWidth="1"/>
    <col min="9" max="9" width="5.140625" style="88" customWidth="1"/>
    <col min="10" max="10" width="13.5703125" style="86" customWidth="1"/>
    <col min="11" max="11" width="12.5703125" style="86" customWidth="1"/>
    <col min="12" max="16384" width="9.140625" style="86"/>
  </cols>
  <sheetData>
    <row r="1" spans="1:10" x14ac:dyDescent="0.25">
      <c r="D1" s="89"/>
    </row>
    <row r="2" spans="1:10" x14ac:dyDescent="0.25">
      <c r="B2" s="323" t="s">
        <v>152</v>
      </c>
      <c r="C2" s="323"/>
      <c r="D2" s="323"/>
      <c r="E2" s="323"/>
      <c r="F2" s="323"/>
      <c r="G2" s="323"/>
      <c r="H2" s="323"/>
      <c r="I2" s="90"/>
    </row>
    <row r="3" spans="1:10" x14ac:dyDescent="0.25">
      <c r="B3" s="324" t="s">
        <v>243</v>
      </c>
      <c r="C3" s="324"/>
      <c r="D3" s="324"/>
      <c r="E3" s="324"/>
      <c r="F3" s="324"/>
      <c r="G3" s="324"/>
      <c r="H3" s="324"/>
      <c r="I3" s="90"/>
    </row>
    <row r="4" spans="1:10" x14ac:dyDescent="0.25">
      <c r="B4" s="324" t="s">
        <v>208</v>
      </c>
      <c r="C4" s="324"/>
      <c r="D4" s="324"/>
      <c r="E4" s="324"/>
      <c r="F4" s="324"/>
      <c r="G4" s="324"/>
      <c r="H4" s="324"/>
      <c r="I4" s="90"/>
    </row>
    <row r="5" spans="1:10" x14ac:dyDescent="0.25">
      <c r="B5" s="325" t="s">
        <v>1</v>
      </c>
      <c r="C5" s="325"/>
      <c r="D5" s="325"/>
      <c r="E5" s="325"/>
      <c r="F5" s="325"/>
      <c r="G5" s="325"/>
      <c r="H5" s="325"/>
      <c r="I5" s="90"/>
    </row>
    <row r="6" spans="1:10" x14ac:dyDescent="0.25">
      <c r="A6" s="90"/>
      <c r="B6" s="90"/>
      <c r="C6" s="90"/>
      <c r="D6" s="90"/>
      <c r="E6" s="90"/>
      <c r="F6" s="90"/>
      <c r="G6" s="90"/>
      <c r="H6" s="90"/>
      <c r="I6" s="90"/>
    </row>
    <row r="7" spans="1:10" x14ac:dyDescent="0.25">
      <c r="A7" s="80" t="s">
        <v>2</v>
      </c>
      <c r="B7" s="83"/>
      <c r="I7" s="80" t="s">
        <v>2</v>
      </c>
    </row>
    <row r="8" spans="1:10" x14ac:dyDescent="0.25">
      <c r="A8" s="82" t="s">
        <v>6</v>
      </c>
      <c r="B8" s="83"/>
      <c r="I8" s="82" t="s">
        <v>6</v>
      </c>
    </row>
    <row r="9" spans="1:10" x14ac:dyDescent="0.25">
      <c r="A9" s="80">
        <v>1</v>
      </c>
      <c r="C9" s="91" t="s">
        <v>169</v>
      </c>
      <c r="D9" s="91" t="s">
        <v>170</v>
      </c>
      <c r="E9" s="91" t="s">
        <v>171</v>
      </c>
      <c r="F9" s="91" t="s">
        <v>172</v>
      </c>
      <c r="G9" s="91" t="s">
        <v>173</v>
      </c>
      <c r="H9" s="91" t="s">
        <v>174</v>
      </c>
      <c r="I9" s="80">
        <v>1</v>
      </c>
    </row>
    <row r="10" spans="1:10" x14ac:dyDescent="0.25">
      <c r="A10" s="80">
        <f t="shared" ref="A10:A16" si="0">A9+1</f>
        <v>2</v>
      </c>
      <c r="B10" s="92" t="s">
        <v>175</v>
      </c>
      <c r="C10" s="80"/>
      <c r="D10" s="84" t="s">
        <v>176</v>
      </c>
      <c r="E10" s="80"/>
      <c r="F10" s="80" t="s">
        <v>177</v>
      </c>
      <c r="G10" s="80" t="s">
        <v>178</v>
      </c>
      <c r="H10" s="84" t="s">
        <v>179</v>
      </c>
      <c r="I10" s="80">
        <f t="shared" ref="I10:I16" si="1">I9+1</f>
        <v>2</v>
      </c>
    </row>
    <row r="11" spans="1:10" x14ac:dyDescent="0.25">
      <c r="A11" s="80">
        <f t="shared" si="0"/>
        <v>3</v>
      </c>
      <c r="C11" s="91"/>
      <c r="F11" s="87" t="s">
        <v>180</v>
      </c>
      <c r="H11" s="87" t="s">
        <v>180</v>
      </c>
      <c r="I11" s="80">
        <f t="shared" si="1"/>
        <v>3</v>
      </c>
    </row>
    <row r="12" spans="1:10" x14ac:dyDescent="0.25">
      <c r="A12" s="80">
        <f t="shared" si="0"/>
        <v>4</v>
      </c>
      <c r="C12" s="91"/>
      <c r="D12" s="87" t="s">
        <v>181</v>
      </c>
      <c r="E12" s="87"/>
      <c r="F12" s="87" t="s">
        <v>182</v>
      </c>
      <c r="H12" s="87" t="s">
        <v>182</v>
      </c>
      <c r="I12" s="80">
        <f t="shared" si="1"/>
        <v>4</v>
      </c>
    </row>
    <row r="13" spans="1:10" x14ac:dyDescent="0.25">
      <c r="A13" s="80">
        <f t="shared" si="0"/>
        <v>5</v>
      </c>
      <c r="C13" s="87"/>
      <c r="D13" s="87" t="s">
        <v>182</v>
      </c>
      <c r="E13" s="87" t="s">
        <v>181</v>
      </c>
      <c r="F13" s="87" t="s">
        <v>183</v>
      </c>
      <c r="H13" s="87" t="s">
        <v>183</v>
      </c>
      <c r="I13" s="80">
        <f t="shared" si="1"/>
        <v>5</v>
      </c>
    </row>
    <row r="14" spans="1:10" x14ac:dyDescent="0.25">
      <c r="A14" s="80">
        <f t="shared" si="0"/>
        <v>6</v>
      </c>
      <c r="C14" s="87"/>
      <c r="D14" s="87" t="s">
        <v>183</v>
      </c>
      <c r="E14" s="87" t="s">
        <v>184</v>
      </c>
      <c r="F14" s="87" t="s">
        <v>185</v>
      </c>
      <c r="G14" s="87"/>
      <c r="H14" s="87" t="s">
        <v>185</v>
      </c>
      <c r="I14" s="80">
        <f t="shared" si="1"/>
        <v>6</v>
      </c>
    </row>
    <row r="15" spans="1:10" ht="18.75" x14ac:dyDescent="0.25">
      <c r="A15" s="80">
        <f t="shared" si="0"/>
        <v>7</v>
      </c>
      <c r="B15" s="93" t="s">
        <v>186</v>
      </c>
      <c r="C15" s="93" t="s">
        <v>187</v>
      </c>
      <c r="D15" s="85" t="s">
        <v>185</v>
      </c>
      <c r="E15" s="85" t="s">
        <v>188</v>
      </c>
      <c r="F15" s="85" t="s">
        <v>189</v>
      </c>
      <c r="G15" s="94" t="s">
        <v>184</v>
      </c>
      <c r="H15" s="85" t="s">
        <v>190</v>
      </c>
      <c r="I15" s="80">
        <f t="shared" si="1"/>
        <v>7</v>
      </c>
    </row>
    <row r="16" spans="1:10" x14ac:dyDescent="0.25">
      <c r="A16" s="80">
        <f t="shared" si="0"/>
        <v>8</v>
      </c>
      <c r="B16" s="95" t="s">
        <v>191</v>
      </c>
      <c r="C16" s="103">
        <v>2021</v>
      </c>
      <c r="D16" s="96">
        <f>'Pg1 TO5 C5 FERC Adder Refund'!D10/12</f>
        <v>-1587.9817833207587</v>
      </c>
      <c r="E16" s="97">
        <v>2.8E-3</v>
      </c>
      <c r="F16" s="148">
        <f>D16</f>
        <v>-1587.9817833207587</v>
      </c>
      <c r="G16" s="141">
        <f>(D16/2)*E16</f>
        <v>-2.2231744966490621</v>
      </c>
      <c r="H16" s="147">
        <f t="shared" ref="H16:H19" si="2">F16+G16</f>
        <v>-1590.2049578174078</v>
      </c>
      <c r="I16" s="80">
        <f t="shared" si="1"/>
        <v>8</v>
      </c>
      <c r="J16" s="104"/>
    </row>
    <row r="17" spans="1:10" x14ac:dyDescent="0.25">
      <c r="A17" s="80">
        <f t="shared" ref="A17:A44" si="3">A16+1</f>
        <v>9</v>
      </c>
      <c r="B17" s="95" t="s">
        <v>192</v>
      </c>
      <c r="C17" s="103">
        <f>C16</f>
        <v>2021</v>
      </c>
      <c r="D17" s="98">
        <f>D16</f>
        <v>-1587.9817833207587</v>
      </c>
      <c r="E17" s="97">
        <v>2.5000000000000001E-3</v>
      </c>
      <c r="F17" s="107">
        <f t="shared" ref="F17:F44" si="4">H16+D17</f>
        <v>-3178.1867411381663</v>
      </c>
      <c r="G17" s="143">
        <f t="shared" ref="G17:G20" si="5">(H16+F17)/2*E17</f>
        <v>-5.9604896236944684</v>
      </c>
      <c r="H17" s="108">
        <f t="shared" si="2"/>
        <v>-3184.147230761861</v>
      </c>
      <c r="I17" s="80">
        <f t="shared" ref="I17:I44" si="6">I16+1</f>
        <v>9</v>
      </c>
      <c r="J17" s="104"/>
    </row>
    <row r="18" spans="1:10" x14ac:dyDescent="0.25">
      <c r="A18" s="80">
        <f t="shared" si="3"/>
        <v>10</v>
      </c>
      <c r="B18" s="95" t="s">
        <v>193</v>
      </c>
      <c r="C18" s="103">
        <f t="shared" ref="C18:D26" si="7">C17</f>
        <v>2021</v>
      </c>
      <c r="D18" s="98">
        <f t="shared" si="7"/>
        <v>-1587.9817833207587</v>
      </c>
      <c r="E18" s="97">
        <v>2.8E-3</v>
      </c>
      <c r="F18" s="107">
        <f t="shared" si="4"/>
        <v>-4772.1290140826195</v>
      </c>
      <c r="G18" s="143">
        <f t="shared" si="5"/>
        <v>-11.138786742782273</v>
      </c>
      <c r="H18" s="108">
        <f t="shared" si="2"/>
        <v>-4783.2678008254015</v>
      </c>
      <c r="I18" s="80">
        <f t="shared" si="6"/>
        <v>10</v>
      </c>
      <c r="J18" s="104"/>
    </row>
    <row r="19" spans="1:10" x14ac:dyDescent="0.25">
      <c r="A19" s="80">
        <f t="shared" si="3"/>
        <v>11</v>
      </c>
      <c r="B19" s="95" t="s">
        <v>194</v>
      </c>
      <c r="C19" s="103">
        <f t="shared" si="7"/>
        <v>2021</v>
      </c>
      <c r="D19" s="98">
        <f t="shared" si="7"/>
        <v>-1587.9817833207587</v>
      </c>
      <c r="E19" s="97">
        <v>2.7000000000000001E-3</v>
      </c>
      <c r="F19" s="107">
        <f t="shared" si="4"/>
        <v>-6371.2495841461605</v>
      </c>
      <c r="G19" s="143">
        <f t="shared" si="5"/>
        <v>-15.058598469711608</v>
      </c>
      <c r="H19" s="108">
        <f t="shared" si="2"/>
        <v>-6386.3081826158723</v>
      </c>
      <c r="I19" s="80">
        <f t="shared" si="6"/>
        <v>11</v>
      </c>
      <c r="J19" s="104"/>
    </row>
    <row r="20" spans="1:10" x14ac:dyDescent="0.25">
      <c r="A20" s="80">
        <f t="shared" si="3"/>
        <v>12</v>
      </c>
      <c r="B20" s="95" t="s">
        <v>195</v>
      </c>
      <c r="C20" s="103">
        <f t="shared" si="7"/>
        <v>2021</v>
      </c>
      <c r="D20" s="98">
        <f t="shared" si="7"/>
        <v>-1587.9817833207587</v>
      </c>
      <c r="E20" s="97">
        <v>2.8E-3</v>
      </c>
      <c r="F20" s="107">
        <f t="shared" si="4"/>
        <v>-7974.2899659366312</v>
      </c>
      <c r="G20" s="143">
        <f t="shared" si="5"/>
        <v>-20.104837407973505</v>
      </c>
      <c r="H20" s="108">
        <f t="shared" ref="H20:H44" si="8">F20+G20</f>
        <v>-7994.394803344605</v>
      </c>
      <c r="I20" s="80">
        <f t="shared" si="6"/>
        <v>12</v>
      </c>
      <c r="J20" s="104"/>
    </row>
    <row r="21" spans="1:10" x14ac:dyDescent="0.25">
      <c r="A21" s="80">
        <f t="shared" si="3"/>
        <v>13</v>
      </c>
      <c r="B21" s="95" t="s">
        <v>196</v>
      </c>
      <c r="C21" s="103">
        <f t="shared" si="7"/>
        <v>2021</v>
      </c>
      <c r="D21" s="98">
        <f t="shared" si="7"/>
        <v>-1587.9817833207587</v>
      </c>
      <c r="E21" s="97">
        <v>2.7000000000000001E-3</v>
      </c>
      <c r="F21" s="107">
        <f t="shared" si="4"/>
        <v>-9582.376586665363</v>
      </c>
      <c r="G21" s="143">
        <f t="shared" ref="G21:G44" si="9">(H20+F21)/2*E21</f>
        <v>-23.728641376513462</v>
      </c>
      <c r="H21" s="108">
        <f t="shared" si="8"/>
        <v>-9606.1052280418771</v>
      </c>
      <c r="I21" s="80">
        <f t="shared" si="6"/>
        <v>13</v>
      </c>
      <c r="J21" s="104"/>
    </row>
    <row r="22" spans="1:10" x14ac:dyDescent="0.25">
      <c r="A22" s="80">
        <f t="shared" si="3"/>
        <v>14</v>
      </c>
      <c r="B22" s="95" t="s">
        <v>197</v>
      </c>
      <c r="C22" s="103">
        <f t="shared" si="7"/>
        <v>2021</v>
      </c>
      <c r="D22" s="98">
        <f t="shared" si="7"/>
        <v>-1587.9817833207587</v>
      </c>
      <c r="E22" s="97">
        <v>2.8E-3</v>
      </c>
      <c r="F22" s="107">
        <f t="shared" si="4"/>
        <v>-11194.087011362635</v>
      </c>
      <c r="G22" s="143">
        <f t="shared" si="9"/>
        <v>-29.120269135166314</v>
      </c>
      <c r="H22" s="108">
        <f t="shared" si="8"/>
        <v>-11223.207280497802</v>
      </c>
      <c r="I22" s="80">
        <f t="shared" si="6"/>
        <v>14</v>
      </c>
      <c r="J22" s="104"/>
    </row>
    <row r="23" spans="1:10" x14ac:dyDescent="0.25">
      <c r="A23" s="80">
        <f t="shared" si="3"/>
        <v>15</v>
      </c>
      <c r="B23" s="95" t="s">
        <v>198</v>
      </c>
      <c r="C23" s="103">
        <f t="shared" si="7"/>
        <v>2021</v>
      </c>
      <c r="D23" s="98">
        <f t="shared" si="7"/>
        <v>-1587.9817833207587</v>
      </c>
      <c r="E23" s="97">
        <v>2.8E-3</v>
      </c>
      <c r="F23" s="107">
        <f t="shared" si="4"/>
        <v>-12811.18906381856</v>
      </c>
      <c r="G23" s="143">
        <f t="shared" si="9"/>
        <v>-33.648154882042903</v>
      </c>
      <c r="H23" s="108">
        <f t="shared" si="8"/>
        <v>-12844.837218700603</v>
      </c>
      <c r="I23" s="80">
        <f t="shared" si="6"/>
        <v>15</v>
      </c>
      <c r="J23" s="104"/>
    </row>
    <row r="24" spans="1:10" x14ac:dyDescent="0.25">
      <c r="A24" s="80">
        <f t="shared" si="3"/>
        <v>16</v>
      </c>
      <c r="B24" s="95" t="s">
        <v>199</v>
      </c>
      <c r="C24" s="103">
        <f t="shared" si="7"/>
        <v>2021</v>
      </c>
      <c r="D24" s="98">
        <f t="shared" si="7"/>
        <v>-1587.9817833207587</v>
      </c>
      <c r="E24" s="97">
        <v>2.7000000000000001E-3</v>
      </c>
      <c r="F24" s="107">
        <f t="shared" si="4"/>
        <v>-14432.819002021361</v>
      </c>
      <c r="G24" s="143">
        <f t="shared" si="9"/>
        <v>-36.824835897974651</v>
      </c>
      <c r="H24" s="108">
        <f t="shared" si="8"/>
        <v>-14469.643837919335</v>
      </c>
      <c r="I24" s="80">
        <f t="shared" si="6"/>
        <v>16</v>
      </c>
      <c r="J24" s="104"/>
    </row>
    <row r="25" spans="1:10" x14ac:dyDescent="0.25">
      <c r="A25" s="80">
        <f t="shared" si="3"/>
        <v>17</v>
      </c>
      <c r="B25" s="95" t="s">
        <v>200</v>
      </c>
      <c r="C25" s="103">
        <f t="shared" si="7"/>
        <v>2021</v>
      </c>
      <c r="D25" s="98">
        <f t="shared" si="7"/>
        <v>-1587.9817833207587</v>
      </c>
      <c r="E25" s="97">
        <v>2.8E-3</v>
      </c>
      <c r="F25" s="107">
        <f t="shared" si="4"/>
        <v>-16057.625621240093</v>
      </c>
      <c r="G25" s="143">
        <f t="shared" si="9"/>
        <v>-42.738177242823198</v>
      </c>
      <c r="H25" s="108">
        <f t="shared" si="8"/>
        <v>-16100.363798482917</v>
      </c>
      <c r="I25" s="80">
        <f t="shared" si="6"/>
        <v>17</v>
      </c>
      <c r="J25" s="104"/>
    </row>
    <row r="26" spans="1:10" x14ac:dyDescent="0.25">
      <c r="A26" s="80">
        <f t="shared" si="3"/>
        <v>18</v>
      </c>
      <c r="B26" s="95" t="s">
        <v>201</v>
      </c>
      <c r="C26" s="103">
        <f t="shared" si="7"/>
        <v>2021</v>
      </c>
      <c r="D26" s="98">
        <f t="shared" si="7"/>
        <v>-1587.9817833207587</v>
      </c>
      <c r="E26" s="97">
        <v>2.7000000000000001E-3</v>
      </c>
      <c r="F26" s="107">
        <f t="shared" si="4"/>
        <v>-17688.345581803675</v>
      </c>
      <c r="G26" s="143">
        <f t="shared" si="9"/>
        <v>-45.614757663386904</v>
      </c>
      <c r="H26" s="108">
        <f t="shared" si="8"/>
        <v>-17733.960339467063</v>
      </c>
      <c r="I26" s="80">
        <f t="shared" si="6"/>
        <v>18</v>
      </c>
      <c r="J26" s="104"/>
    </row>
    <row r="27" spans="1:10" x14ac:dyDescent="0.25">
      <c r="A27" s="80">
        <f t="shared" si="3"/>
        <v>19</v>
      </c>
      <c r="B27" s="99" t="s">
        <v>202</v>
      </c>
      <c r="C27" s="105">
        <f>C26</f>
        <v>2021</v>
      </c>
      <c r="D27" s="100">
        <f>D26</f>
        <v>-1587.9817833207587</v>
      </c>
      <c r="E27" s="101">
        <v>2.8E-3</v>
      </c>
      <c r="F27" s="102">
        <f t="shared" si="4"/>
        <v>-19321.942122787823</v>
      </c>
      <c r="G27" s="144">
        <f t="shared" si="9"/>
        <v>-51.878263447156847</v>
      </c>
      <c r="H27" s="106">
        <f t="shared" si="8"/>
        <v>-19373.82038623498</v>
      </c>
      <c r="I27" s="80">
        <f t="shared" si="6"/>
        <v>19</v>
      </c>
      <c r="J27" s="104"/>
    </row>
    <row r="28" spans="1:10" x14ac:dyDescent="0.25">
      <c r="A28" s="80">
        <f t="shared" si="3"/>
        <v>20</v>
      </c>
      <c r="B28" s="95" t="s">
        <v>191</v>
      </c>
      <c r="C28" s="103">
        <v>2022</v>
      </c>
      <c r="D28" s="98"/>
      <c r="E28" s="97">
        <v>2.8E-3</v>
      </c>
      <c r="F28" s="107">
        <f t="shared" si="4"/>
        <v>-19373.82038623498</v>
      </c>
      <c r="G28" s="143">
        <f t="shared" si="9"/>
        <v>-54.246697081457945</v>
      </c>
      <c r="H28" s="108">
        <f t="shared" si="8"/>
        <v>-19428.067083316437</v>
      </c>
      <c r="I28" s="80">
        <f t="shared" si="6"/>
        <v>20</v>
      </c>
      <c r="J28" s="104"/>
    </row>
    <row r="29" spans="1:10" x14ac:dyDescent="0.25">
      <c r="A29" s="80">
        <f t="shared" si="3"/>
        <v>21</v>
      </c>
      <c r="B29" s="95" t="s">
        <v>192</v>
      </c>
      <c r="C29" s="103">
        <v>2022</v>
      </c>
      <c r="D29" s="98"/>
      <c r="E29" s="97">
        <v>2.5000000000000001E-3</v>
      </c>
      <c r="F29" s="107">
        <f t="shared" si="4"/>
        <v>-19428.067083316437</v>
      </c>
      <c r="G29" s="143">
        <f t="shared" si="9"/>
        <v>-48.570167708291095</v>
      </c>
      <c r="H29" s="108">
        <f t="shared" si="8"/>
        <v>-19476.637251024727</v>
      </c>
      <c r="I29" s="80">
        <f t="shared" si="6"/>
        <v>21</v>
      </c>
      <c r="J29" s="104"/>
    </row>
    <row r="30" spans="1:10" x14ac:dyDescent="0.25">
      <c r="A30" s="80">
        <f t="shared" si="3"/>
        <v>22</v>
      </c>
      <c r="B30" s="95" t="s">
        <v>193</v>
      </c>
      <c r="C30" s="103">
        <v>2022</v>
      </c>
      <c r="D30" s="98"/>
      <c r="E30" s="97">
        <v>2.8E-3</v>
      </c>
      <c r="F30" s="107">
        <f t="shared" si="4"/>
        <v>-19476.637251024727</v>
      </c>
      <c r="G30" s="143">
        <f t="shared" si="9"/>
        <v>-54.534584302869234</v>
      </c>
      <c r="H30" s="108">
        <f t="shared" si="8"/>
        <v>-19531.171835327597</v>
      </c>
      <c r="I30" s="80">
        <f t="shared" si="6"/>
        <v>22</v>
      </c>
      <c r="J30" s="104"/>
    </row>
    <row r="31" spans="1:10" x14ac:dyDescent="0.25">
      <c r="A31" s="80">
        <f t="shared" si="3"/>
        <v>23</v>
      </c>
      <c r="B31" s="95" t="s">
        <v>194</v>
      </c>
      <c r="C31" s="103">
        <v>2022</v>
      </c>
      <c r="D31" s="98"/>
      <c r="E31" s="97">
        <v>2.7000000000000001E-3</v>
      </c>
      <c r="F31" s="107">
        <f t="shared" si="4"/>
        <v>-19531.171835327597</v>
      </c>
      <c r="G31" s="143">
        <f t="shared" si="9"/>
        <v>-52.734163955384517</v>
      </c>
      <c r="H31" s="108">
        <f t="shared" si="8"/>
        <v>-19583.905999282983</v>
      </c>
      <c r="I31" s="80">
        <f t="shared" si="6"/>
        <v>23</v>
      </c>
      <c r="J31" s="104"/>
    </row>
    <row r="32" spans="1:10" x14ac:dyDescent="0.25">
      <c r="A32" s="80">
        <f t="shared" si="3"/>
        <v>24</v>
      </c>
      <c r="B32" s="95" t="s">
        <v>195</v>
      </c>
      <c r="C32" s="103">
        <v>2022</v>
      </c>
      <c r="D32" s="98"/>
      <c r="E32" s="97">
        <v>2.8E-3</v>
      </c>
      <c r="F32" s="107">
        <f t="shared" si="4"/>
        <v>-19583.905999282983</v>
      </c>
      <c r="G32" s="143">
        <f t="shared" si="9"/>
        <v>-54.834936797992349</v>
      </c>
      <c r="H32" s="108">
        <f t="shared" si="8"/>
        <v>-19638.740936080976</v>
      </c>
      <c r="I32" s="80">
        <f t="shared" si="6"/>
        <v>24</v>
      </c>
      <c r="J32" s="104"/>
    </row>
    <row r="33" spans="1:10" x14ac:dyDescent="0.25">
      <c r="A33" s="80">
        <f t="shared" si="3"/>
        <v>25</v>
      </c>
      <c r="B33" s="95" t="s">
        <v>196</v>
      </c>
      <c r="C33" s="103">
        <v>2022</v>
      </c>
      <c r="D33" s="98"/>
      <c r="E33" s="97">
        <v>2.7000000000000001E-3</v>
      </c>
      <c r="F33" s="107">
        <f t="shared" si="4"/>
        <v>-19638.740936080976</v>
      </c>
      <c r="G33" s="143">
        <f t="shared" si="9"/>
        <v>-53.024600527418642</v>
      </c>
      <c r="H33" s="108">
        <f t="shared" si="8"/>
        <v>-19691.765536608396</v>
      </c>
      <c r="I33" s="80">
        <f t="shared" si="6"/>
        <v>25</v>
      </c>
      <c r="J33" s="104"/>
    </row>
    <row r="34" spans="1:10" x14ac:dyDescent="0.25">
      <c r="A34" s="80">
        <f t="shared" si="3"/>
        <v>26</v>
      </c>
      <c r="B34" s="95" t="s">
        <v>197</v>
      </c>
      <c r="C34" s="103">
        <v>2022</v>
      </c>
      <c r="D34" s="98"/>
      <c r="E34" s="97">
        <v>3.0999999999999999E-3</v>
      </c>
      <c r="F34" s="107">
        <f t="shared" si="4"/>
        <v>-19691.765536608396</v>
      </c>
      <c r="G34" s="143">
        <f t="shared" si="9"/>
        <v>-61.044473163486025</v>
      </c>
      <c r="H34" s="108">
        <f t="shared" si="8"/>
        <v>-19752.810009771882</v>
      </c>
      <c r="I34" s="80">
        <f t="shared" si="6"/>
        <v>26</v>
      </c>
      <c r="J34" s="104"/>
    </row>
    <row r="35" spans="1:10" x14ac:dyDescent="0.25">
      <c r="A35" s="80">
        <f t="shared" si="3"/>
        <v>27</v>
      </c>
      <c r="B35" s="95" t="s">
        <v>198</v>
      </c>
      <c r="C35" s="103">
        <v>2022</v>
      </c>
      <c r="D35" s="98"/>
      <c r="E35" s="97">
        <v>3.0999999999999999E-3</v>
      </c>
      <c r="F35" s="107">
        <f t="shared" si="4"/>
        <v>-19752.810009771882</v>
      </c>
      <c r="G35" s="143">
        <f t="shared" si="9"/>
        <v>-61.233711030292831</v>
      </c>
      <c r="H35" s="108">
        <f t="shared" si="8"/>
        <v>-19814.043720802176</v>
      </c>
      <c r="I35" s="80">
        <f t="shared" si="6"/>
        <v>27</v>
      </c>
      <c r="J35" s="104"/>
    </row>
    <row r="36" spans="1:10" x14ac:dyDescent="0.25">
      <c r="A36" s="80">
        <f t="shared" si="3"/>
        <v>28</v>
      </c>
      <c r="B36" s="95" t="s">
        <v>199</v>
      </c>
      <c r="C36" s="103">
        <v>2022</v>
      </c>
      <c r="D36" s="98"/>
      <c r="E36" s="97">
        <v>3.0000000000000001E-3</v>
      </c>
      <c r="F36" s="107">
        <f t="shared" si="4"/>
        <v>-19814.043720802176</v>
      </c>
      <c r="G36" s="143">
        <f t="shared" si="9"/>
        <v>-59.442131162406525</v>
      </c>
      <c r="H36" s="108">
        <f t="shared" si="8"/>
        <v>-19873.485851964582</v>
      </c>
      <c r="I36" s="80">
        <f t="shared" si="6"/>
        <v>28</v>
      </c>
      <c r="J36" s="104"/>
    </row>
    <row r="37" spans="1:10" x14ac:dyDescent="0.25">
      <c r="A37" s="80">
        <f t="shared" si="3"/>
        <v>29</v>
      </c>
      <c r="B37" s="95" t="s">
        <v>200</v>
      </c>
      <c r="C37" s="103">
        <v>2022</v>
      </c>
      <c r="D37" s="98"/>
      <c r="E37" s="97">
        <v>4.1999999999999997E-3</v>
      </c>
      <c r="F37" s="107">
        <f t="shared" si="4"/>
        <v>-19873.485851964582</v>
      </c>
      <c r="G37" s="143">
        <f t="shared" si="9"/>
        <v>-83.46864057825124</v>
      </c>
      <c r="H37" s="108">
        <f t="shared" si="8"/>
        <v>-19956.954492542834</v>
      </c>
      <c r="I37" s="80">
        <f t="shared" si="6"/>
        <v>29</v>
      </c>
      <c r="J37" s="104"/>
    </row>
    <row r="38" spans="1:10" x14ac:dyDescent="0.25">
      <c r="A38" s="80">
        <f t="shared" si="3"/>
        <v>30</v>
      </c>
      <c r="B38" s="95" t="s">
        <v>201</v>
      </c>
      <c r="C38" s="103">
        <v>2022</v>
      </c>
      <c r="D38" s="98"/>
      <c r="E38" s="97">
        <v>4.0000000000000001E-3</v>
      </c>
      <c r="F38" s="107">
        <f t="shared" si="4"/>
        <v>-19956.954492542834</v>
      </c>
      <c r="G38" s="143">
        <f t="shared" si="9"/>
        <v>-79.827817970171338</v>
      </c>
      <c r="H38" s="108">
        <f t="shared" si="8"/>
        <v>-20036.782310513005</v>
      </c>
      <c r="I38" s="80">
        <f t="shared" si="6"/>
        <v>30</v>
      </c>
      <c r="J38" s="104"/>
    </row>
    <row r="39" spans="1:10" x14ac:dyDescent="0.25">
      <c r="A39" s="80">
        <f t="shared" si="3"/>
        <v>31</v>
      </c>
      <c r="B39" s="99" t="s">
        <v>202</v>
      </c>
      <c r="C39" s="105">
        <v>2022</v>
      </c>
      <c r="D39" s="100"/>
      <c r="E39" s="101">
        <v>4.1999999999999997E-3</v>
      </c>
      <c r="F39" s="102">
        <f t="shared" si="4"/>
        <v>-20036.782310513005</v>
      </c>
      <c r="G39" s="144">
        <f t="shared" si="9"/>
        <v>-84.154485704154609</v>
      </c>
      <c r="H39" s="106">
        <f t="shared" si="8"/>
        <v>-20120.93679621716</v>
      </c>
      <c r="I39" s="80">
        <f t="shared" si="6"/>
        <v>31</v>
      </c>
      <c r="J39" s="104"/>
    </row>
    <row r="40" spans="1:10" x14ac:dyDescent="0.25">
      <c r="A40" s="80">
        <f t="shared" si="3"/>
        <v>32</v>
      </c>
      <c r="B40" s="118" t="s">
        <v>191</v>
      </c>
      <c r="C40" s="139">
        <v>2023</v>
      </c>
      <c r="D40" s="81"/>
      <c r="E40" s="97">
        <v>5.4000000000000003E-3</v>
      </c>
      <c r="F40" s="107">
        <f t="shared" si="4"/>
        <v>-20120.93679621716</v>
      </c>
      <c r="G40" s="143">
        <f t="shared" si="9"/>
        <v>-108.65305869957267</v>
      </c>
      <c r="H40" s="108">
        <f t="shared" si="8"/>
        <v>-20229.589854916732</v>
      </c>
      <c r="I40" s="80">
        <f t="shared" si="6"/>
        <v>32</v>
      </c>
      <c r="J40" s="104"/>
    </row>
    <row r="41" spans="1:10" x14ac:dyDescent="0.25">
      <c r="A41" s="80">
        <f t="shared" si="3"/>
        <v>33</v>
      </c>
      <c r="B41" s="118" t="s">
        <v>192</v>
      </c>
      <c r="C41" s="139">
        <v>2023</v>
      </c>
      <c r="D41" s="81"/>
      <c r="E41" s="97">
        <v>4.7999999999999996E-3</v>
      </c>
      <c r="F41" s="107">
        <f t="shared" si="4"/>
        <v>-20229.589854916732</v>
      </c>
      <c r="G41" s="143">
        <f t="shared" si="9"/>
        <v>-97.102031303600313</v>
      </c>
      <c r="H41" s="108">
        <f t="shared" si="8"/>
        <v>-20326.691886220331</v>
      </c>
      <c r="I41" s="80">
        <f t="shared" si="6"/>
        <v>33</v>
      </c>
      <c r="J41" s="104"/>
    </row>
    <row r="42" spans="1:10" x14ac:dyDescent="0.25">
      <c r="A42" s="80">
        <f t="shared" si="3"/>
        <v>34</v>
      </c>
      <c r="B42" s="118" t="s">
        <v>193</v>
      </c>
      <c r="C42" s="139">
        <v>2023</v>
      </c>
      <c r="D42" s="81"/>
      <c r="E42" s="97">
        <v>5.4000000000000003E-3</v>
      </c>
      <c r="F42" s="107">
        <f t="shared" si="4"/>
        <v>-20326.691886220331</v>
      </c>
      <c r="G42" s="143">
        <f t="shared" si="9"/>
        <v>-109.76413618558979</v>
      </c>
      <c r="H42" s="108">
        <f t="shared" si="8"/>
        <v>-20436.456022405921</v>
      </c>
      <c r="I42" s="80">
        <f t="shared" si="6"/>
        <v>34</v>
      </c>
      <c r="J42" s="104"/>
    </row>
    <row r="43" spans="1:10" x14ac:dyDescent="0.25">
      <c r="A43" s="80">
        <f t="shared" si="3"/>
        <v>35</v>
      </c>
      <c r="B43" s="118" t="s">
        <v>194</v>
      </c>
      <c r="C43" s="139">
        <v>2023</v>
      </c>
      <c r="D43" s="81"/>
      <c r="E43" s="97">
        <v>6.1999999999999998E-3</v>
      </c>
      <c r="F43" s="107">
        <f t="shared" si="4"/>
        <v>-20436.456022405921</v>
      </c>
      <c r="G43" s="143">
        <f t="shared" si="9"/>
        <v>-126.7060273389167</v>
      </c>
      <c r="H43" s="108">
        <f t="shared" si="8"/>
        <v>-20563.162049744838</v>
      </c>
      <c r="I43" s="80">
        <f t="shared" si="6"/>
        <v>35</v>
      </c>
      <c r="J43" s="104"/>
    </row>
    <row r="44" spans="1:10" x14ac:dyDescent="0.25">
      <c r="A44" s="80">
        <f t="shared" si="3"/>
        <v>36</v>
      </c>
      <c r="B44" s="118" t="s">
        <v>195</v>
      </c>
      <c r="C44" s="139">
        <v>2023</v>
      </c>
      <c r="D44" s="81"/>
      <c r="E44" s="97">
        <v>6.4000000000000003E-3</v>
      </c>
      <c r="F44" s="107">
        <f t="shared" si="4"/>
        <v>-20563.162049744838</v>
      </c>
      <c r="G44" s="143">
        <f t="shared" si="9"/>
        <v>-131.60423711836697</v>
      </c>
      <c r="H44" s="108">
        <f t="shared" si="8"/>
        <v>-20694.766286863207</v>
      </c>
      <c r="I44" s="80">
        <f t="shared" si="6"/>
        <v>36</v>
      </c>
      <c r="J44" s="104"/>
    </row>
    <row r="45" spans="1:10" x14ac:dyDescent="0.25">
      <c r="A45" s="80">
        <f>A44+1</f>
        <v>37</v>
      </c>
      <c r="B45" s="118" t="s">
        <v>196</v>
      </c>
      <c r="C45" s="139">
        <v>2023</v>
      </c>
      <c r="D45" s="81"/>
      <c r="E45" s="97">
        <v>6.1999999999999998E-3</v>
      </c>
      <c r="F45" s="107">
        <f>H44+D45</f>
        <v>-20694.766286863207</v>
      </c>
      <c r="G45" s="145">
        <f>(H44+F45)/2*E45</f>
        <v>-128.30755097855189</v>
      </c>
      <c r="H45" s="108">
        <f>F45+G45</f>
        <v>-20823.073837841759</v>
      </c>
      <c r="I45" s="80">
        <f>I44+1</f>
        <v>37</v>
      </c>
      <c r="J45" s="104"/>
    </row>
    <row r="46" spans="1:10" x14ac:dyDescent="0.25">
      <c r="A46" s="80">
        <f t="shared" ref="A46:A76" si="10">A45+1</f>
        <v>38</v>
      </c>
      <c r="B46" s="95" t="s">
        <v>197</v>
      </c>
      <c r="C46" s="139">
        <v>2023</v>
      </c>
      <c r="D46" s="81"/>
      <c r="E46" s="97">
        <v>6.7999999999999996E-3</v>
      </c>
      <c r="F46" s="107">
        <f t="shared" ref="F46:F51" si="11">H45+D46</f>
        <v>-20823.073837841759</v>
      </c>
      <c r="G46" s="145">
        <f t="shared" ref="G46:G51" si="12">(H45+F46)/2*E46</f>
        <v>-141.59690209732395</v>
      </c>
      <c r="H46" s="108">
        <f t="shared" ref="H46:H51" si="13">F46+G46</f>
        <v>-20964.670739939083</v>
      </c>
      <c r="I46" s="80">
        <f t="shared" ref="I46:I76" si="14">I45+1</f>
        <v>38</v>
      </c>
      <c r="J46" s="104"/>
    </row>
    <row r="47" spans="1:10" x14ac:dyDescent="0.25">
      <c r="A47" s="80">
        <f t="shared" si="10"/>
        <v>39</v>
      </c>
      <c r="B47" s="95" t="s">
        <v>198</v>
      </c>
      <c r="C47" s="139">
        <v>2023</v>
      </c>
      <c r="D47" s="81"/>
      <c r="E47" s="97">
        <v>6.7999999999999996E-3</v>
      </c>
      <c r="F47" s="107">
        <f t="shared" si="11"/>
        <v>-20964.670739939083</v>
      </c>
      <c r="G47" s="145">
        <f t="shared" si="12"/>
        <v>-142.55976103158577</v>
      </c>
      <c r="H47" s="108">
        <f t="shared" si="13"/>
        <v>-21107.230500970669</v>
      </c>
      <c r="I47" s="80">
        <f t="shared" si="14"/>
        <v>39</v>
      </c>
      <c r="J47" s="104"/>
    </row>
    <row r="48" spans="1:10" x14ac:dyDescent="0.25">
      <c r="A48" s="80">
        <f t="shared" si="10"/>
        <v>40</v>
      </c>
      <c r="B48" s="95" t="s">
        <v>199</v>
      </c>
      <c r="C48" s="139">
        <v>2023</v>
      </c>
      <c r="D48" s="81"/>
      <c r="E48" s="97">
        <v>6.6E-3</v>
      </c>
      <c r="F48" s="107">
        <f t="shared" si="11"/>
        <v>-21107.230500970669</v>
      </c>
      <c r="G48" s="145">
        <f t="shared" si="12"/>
        <v>-139.30772130640642</v>
      </c>
      <c r="H48" s="108">
        <f t="shared" si="13"/>
        <v>-21246.538222277075</v>
      </c>
      <c r="I48" s="80">
        <f t="shared" si="14"/>
        <v>40</v>
      </c>
      <c r="J48" s="104"/>
    </row>
    <row r="49" spans="1:10" x14ac:dyDescent="0.25">
      <c r="A49" s="80">
        <f t="shared" si="10"/>
        <v>41</v>
      </c>
      <c r="B49" s="95" t="s">
        <v>200</v>
      </c>
      <c r="C49" s="139">
        <v>2023</v>
      </c>
      <c r="D49" s="81"/>
      <c r="E49" s="97">
        <v>7.1000000000000004E-3</v>
      </c>
      <c r="F49" s="107">
        <f t="shared" si="11"/>
        <v>-21246.538222277075</v>
      </c>
      <c r="G49" s="145">
        <f t="shared" si="12"/>
        <v>-150.85042137816725</v>
      </c>
      <c r="H49" s="108">
        <f t="shared" si="13"/>
        <v>-21397.388643655242</v>
      </c>
      <c r="I49" s="80">
        <f t="shared" si="14"/>
        <v>41</v>
      </c>
      <c r="J49" s="104"/>
    </row>
    <row r="50" spans="1:10" x14ac:dyDescent="0.25">
      <c r="A50" s="80">
        <f t="shared" si="10"/>
        <v>42</v>
      </c>
      <c r="B50" s="95" t="s">
        <v>201</v>
      </c>
      <c r="C50" s="139">
        <v>2023</v>
      </c>
      <c r="D50" s="81"/>
      <c r="E50" s="97">
        <v>6.8999999999999999E-3</v>
      </c>
      <c r="F50" s="107">
        <f t="shared" si="11"/>
        <v>-21397.388643655242</v>
      </c>
      <c r="G50" s="145">
        <f t="shared" si="12"/>
        <v>-147.64198164122118</v>
      </c>
      <c r="H50" s="108">
        <f t="shared" si="13"/>
        <v>-21545.030625296462</v>
      </c>
      <c r="I50" s="80">
        <f t="shared" si="14"/>
        <v>42</v>
      </c>
      <c r="J50" s="104"/>
    </row>
    <row r="51" spans="1:10" x14ac:dyDescent="0.25">
      <c r="A51" s="80">
        <f t="shared" si="10"/>
        <v>43</v>
      </c>
      <c r="B51" s="99" t="s">
        <v>202</v>
      </c>
      <c r="C51" s="140">
        <v>2023</v>
      </c>
      <c r="D51" s="100"/>
      <c r="E51" s="101">
        <v>7.1000000000000004E-3</v>
      </c>
      <c r="F51" s="102">
        <f t="shared" si="11"/>
        <v>-21545.030625296462</v>
      </c>
      <c r="G51" s="144">
        <f t="shared" si="12"/>
        <v>-152.96971743960489</v>
      </c>
      <c r="H51" s="106">
        <f t="shared" si="13"/>
        <v>-21698.000342736068</v>
      </c>
      <c r="I51" s="80">
        <f t="shared" si="14"/>
        <v>43</v>
      </c>
      <c r="J51" s="104"/>
    </row>
    <row r="52" spans="1:10" x14ac:dyDescent="0.25">
      <c r="A52" s="80">
        <f t="shared" si="10"/>
        <v>44</v>
      </c>
      <c r="B52" s="156" t="s">
        <v>191</v>
      </c>
      <c r="C52" s="157">
        <v>2024</v>
      </c>
      <c r="D52" s="81"/>
      <c r="E52" s="97">
        <v>7.1999999999999998E-3</v>
      </c>
      <c r="F52" s="107">
        <f t="shared" ref="F52:F63" si="15">H51+D52</f>
        <v>-21698.000342736068</v>
      </c>
      <c r="G52" s="145">
        <f t="shared" ref="G52:G63" si="16">(H51+F52)/2*E52</f>
        <v>-156.22560246769967</v>
      </c>
      <c r="H52" s="108">
        <f t="shared" ref="H52:H63" si="17">F52+G52</f>
        <v>-21854.225945203769</v>
      </c>
      <c r="I52" s="80">
        <f t="shared" si="14"/>
        <v>44</v>
      </c>
      <c r="J52" s="104"/>
    </row>
    <row r="53" spans="1:10" x14ac:dyDescent="0.25">
      <c r="A53" s="80">
        <f t="shared" si="10"/>
        <v>45</v>
      </c>
      <c r="B53" s="156" t="s">
        <v>192</v>
      </c>
      <c r="C53" s="157">
        <v>2024</v>
      </c>
      <c r="D53" s="81"/>
      <c r="E53" s="97">
        <v>6.7999999999999996E-3</v>
      </c>
      <c r="F53" s="107">
        <f t="shared" si="15"/>
        <v>-21854.225945203769</v>
      </c>
      <c r="G53" s="145">
        <f t="shared" si="16"/>
        <v>-148.60873642738562</v>
      </c>
      <c r="H53" s="108">
        <f t="shared" si="17"/>
        <v>-22002.834681631153</v>
      </c>
      <c r="I53" s="80">
        <f t="shared" si="14"/>
        <v>45</v>
      </c>
      <c r="J53" s="104"/>
    </row>
    <row r="54" spans="1:10" x14ac:dyDescent="0.25">
      <c r="A54" s="80">
        <f t="shared" si="10"/>
        <v>46</v>
      </c>
      <c r="B54" s="156" t="s">
        <v>193</v>
      </c>
      <c r="C54" s="157">
        <v>2024</v>
      </c>
      <c r="D54" s="81"/>
      <c r="E54" s="97">
        <v>7.1999999999999998E-3</v>
      </c>
      <c r="F54" s="107">
        <f t="shared" si="15"/>
        <v>-22002.834681631153</v>
      </c>
      <c r="G54" s="145">
        <f t="shared" si="16"/>
        <v>-158.42040970774431</v>
      </c>
      <c r="H54" s="108">
        <f t="shared" si="17"/>
        <v>-22161.255091338899</v>
      </c>
      <c r="I54" s="80">
        <f t="shared" si="14"/>
        <v>46</v>
      </c>
      <c r="J54" s="104"/>
    </row>
    <row r="55" spans="1:10" x14ac:dyDescent="0.25">
      <c r="A55" s="80">
        <f t="shared" si="10"/>
        <v>47</v>
      </c>
      <c r="B55" s="156" t="s">
        <v>194</v>
      </c>
      <c r="C55" s="157">
        <v>2024</v>
      </c>
      <c r="D55" s="81"/>
      <c r="E55" s="97">
        <v>7.0000000000000001E-3</v>
      </c>
      <c r="F55" s="107">
        <f t="shared" si="15"/>
        <v>-22161.255091338899</v>
      </c>
      <c r="G55" s="145">
        <f t="shared" si="16"/>
        <v>-155.1287856393723</v>
      </c>
      <c r="H55" s="108">
        <f t="shared" si="17"/>
        <v>-22316.383876978271</v>
      </c>
      <c r="I55" s="80">
        <f t="shared" si="14"/>
        <v>47</v>
      </c>
      <c r="J55" s="104"/>
    </row>
    <row r="56" spans="1:10" x14ac:dyDescent="0.25">
      <c r="A56" s="80">
        <f t="shared" si="10"/>
        <v>48</v>
      </c>
      <c r="B56" s="156" t="s">
        <v>195</v>
      </c>
      <c r="C56" s="157">
        <v>2024</v>
      </c>
      <c r="D56" s="81"/>
      <c r="E56" s="97">
        <v>7.1999999999999998E-3</v>
      </c>
      <c r="F56" s="107">
        <f t="shared" si="15"/>
        <v>-22316.383876978271</v>
      </c>
      <c r="G56" s="145">
        <f t="shared" si="16"/>
        <v>-160.67796391424355</v>
      </c>
      <c r="H56" s="108">
        <f t="shared" si="17"/>
        <v>-22477.061840892515</v>
      </c>
      <c r="I56" s="80">
        <f t="shared" si="14"/>
        <v>48</v>
      </c>
      <c r="J56" s="104"/>
    </row>
    <row r="57" spans="1:10" x14ac:dyDescent="0.25">
      <c r="A57" s="80">
        <f t="shared" si="10"/>
        <v>49</v>
      </c>
      <c r="B57" s="156" t="s">
        <v>196</v>
      </c>
      <c r="C57" s="157">
        <v>2024</v>
      </c>
      <c r="D57" s="81"/>
      <c r="E57" s="97">
        <v>7.0000000000000001E-3</v>
      </c>
      <c r="F57" s="107">
        <f t="shared" si="15"/>
        <v>-22477.061840892515</v>
      </c>
      <c r="G57" s="145">
        <f t="shared" si="16"/>
        <v>-157.33943288624761</v>
      </c>
      <c r="H57" s="108">
        <f t="shared" si="17"/>
        <v>-22634.401273778763</v>
      </c>
      <c r="I57" s="80">
        <f t="shared" si="14"/>
        <v>49</v>
      </c>
      <c r="J57" s="104"/>
    </row>
    <row r="58" spans="1:10" x14ac:dyDescent="0.25">
      <c r="A58" s="80">
        <f t="shared" si="10"/>
        <v>50</v>
      </c>
      <c r="B58" s="156" t="s">
        <v>197</v>
      </c>
      <c r="C58" s="157">
        <v>2024</v>
      </c>
      <c r="D58" s="81"/>
      <c r="E58" s="97">
        <v>7.1999999999999998E-3</v>
      </c>
      <c r="F58" s="107">
        <f t="shared" si="15"/>
        <v>-22634.401273778763</v>
      </c>
      <c r="G58" s="145">
        <f t="shared" si="16"/>
        <v>-162.9676891712071</v>
      </c>
      <c r="H58" s="108">
        <f t="shared" si="17"/>
        <v>-22797.368962949971</v>
      </c>
      <c r="I58" s="80">
        <f t="shared" si="14"/>
        <v>50</v>
      </c>
      <c r="J58" s="104"/>
    </row>
    <row r="59" spans="1:10" x14ac:dyDescent="0.25">
      <c r="A59" s="80">
        <f t="shared" si="10"/>
        <v>51</v>
      </c>
      <c r="B59" s="156" t="s">
        <v>198</v>
      </c>
      <c r="C59" s="157">
        <v>2024</v>
      </c>
      <c r="D59" s="81"/>
      <c r="E59" s="97">
        <v>7.1999999999999998E-3</v>
      </c>
      <c r="F59" s="107">
        <f t="shared" si="15"/>
        <v>-22797.368962949971</v>
      </c>
      <c r="G59" s="145">
        <f t="shared" si="16"/>
        <v>-164.14105653323978</v>
      </c>
      <c r="H59" s="108">
        <f t="shared" si="17"/>
        <v>-22961.510019483212</v>
      </c>
      <c r="I59" s="80">
        <f t="shared" si="14"/>
        <v>51</v>
      </c>
      <c r="J59" s="104"/>
    </row>
    <row r="60" spans="1:10" x14ac:dyDescent="0.25">
      <c r="A60" s="80">
        <f t="shared" si="10"/>
        <v>52</v>
      </c>
      <c r="B60" s="156" t="s">
        <v>199</v>
      </c>
      <c r="C60" s="157">
        <v>2024</v>
      </c>
      <c r="D60" s="81"/>
      <c r="E60" s="97">
        <v>7.0000000000000001E-3</v>
      </c>
      <c r="F60" s="107">
        <f t="shared" si="15"/>
        <v>-22961.510019483212</v>
      </c>
      <c r="G60" s="145">
        <f t="shared" si="16"/>
        <v>-160.73057013638248</v>
      </c>
      <c r="H60" s="108">
        <f t="shared" si="17"/>
        <v>-23122.240589619596</v>
      </c>
      <c r="I60" s="80">
        <f t="shared" si="14"/>
        <v>52</v>
      </c>
      <c r="J60" s="104"/>
    </row>
    <row r="61" spans="1:10" x14ac:dyDescent="0.25">
      <c r="A61" s="80">
        <f t="shared" si="10"/>
        <v>53</v>
      </c>
      <c r="B61" s="156" t="s">
        <v>200</v>
      </c>
      <c r="C61" s="157">
        <v>2024</v>
      </c>
      <c r="D61" s="81"/>
      <c r="E61" s="97">
        <v>7.1999999999999998E-3</v>
      </c>
      <c r="F61" s="107">
        <f t="shared" si="15"/>
        <v>-23122.240589619596</v>
      </c>
      <c r="G61" s="145">
        <f t="shared" si="16"/>
        <v>-166.48013224526107</v>
      </c>
      <c r="H61" s="108">
        <f t="shared" si="17"/>
        <v>-23288.720721864858</v>
      </c>
      <c r="I61" s="80">
        <f t="shared" si="14"/>
        <v>53</v>
      </c>
      <c r="J61" s="104"/>
    </row>
    <row r="62" spans="1:10" x14ac:dyDescent="0.25">
      <c r="A62" s="80">
        <f t="shared" si="10"/>
        <v>54</v>
      </c>
      <c r="B62" s="156" t="s">
        <v>201</v>
      </c>
      <c r="C62" s="157">
        <v>2024</v>
      </c>
      <c r="D62" s="81"/>
      <c r="E62" s="97">
        <v>7.0000000000000001E-3</v>
      </c>
      <c r="F62" s="107">
        <f t="shared" si="15"/>
        <v>-23288.720721864858</v>
      </c>
      <c r="G62" s="145">
        <f t="shared" si="16"/>
        <v>-163.02104505305402</v>
      </c>
      <c r="H62" s="108">
        <f t="shared" si="17"/>
        <v>-23451.741766917912</v>
      </c>
      <c r="I62" s="80">
        <f t="shared" si="14"/>
        <v>54</v>
      </c>
      <c r="J62" s="104"/>
    </row>
    <row r="63" spans="1:10" x14ac:dyDescent="0.25">
      <c r="A63" s="80">
        <f t="shared" si="10"/>
        <v>55</v>
      </c>
      <c r="B63" s="158" t="s">
        <v>202</v>
      </c>
      <c r="C63" s="159">
        <v>2024</v>
      </c>
      <c r="D63" s="100"/>
      <c r="E63" s="101">
        <v>7.1999999999999998E-3</v>
      </c>
      <c r="F63" s="102">
        <f t="shared" si="15"/>
        <v>-23451.741766917912</v>
      </c>
      <c r="G63" s="144">
        <f t="shared" si="16"/>
        <v>-168.85254072180896</v>
      </c>
      <c r="H63" s="106">
        <f t="shared" si="17"/>
        <v>-23620.59430763972</v>
      </c>
      <c r="I63" s="80">
        <f t="shared" si="14"/>
        <v>55</v>
      </c>
      <c r="J63" s="104"/>
    </row>
    <row r="64" spans="1:10" x14ac:dyDescent="0.25">
      <c r="A64" s="80">
        <f t="shared" si="10"/>
        <v>56</v>
      </c>
      <c r="B64" s="156" t="s">
        <v>191</v>
      </c>
      <c r="C64" s="157">
        <v>2025</v>
      </c>
      <c r="D64" s="292"/>
      <c r="E64" s="97">
        <v>6.7999999999999996E-3</v>
      </c>
      <c r="F64" s="107">
        <f t="shared" ref="F64:F75" si="18">H63+D64</f>
        <v>-23620.59430763972</v>
      </c>
      <c r="G64" s="145">
        <f t="shared" ref="G64:G75" si="19">(H63+F64)/2*E64</f>
        <v>-160.62004129195009</v>
      </c>
      <c r="H64" s="108">
        <f t="shared" ref="H64:H75" si="20">F64+G64</f>
        <v>-23781.21434893167</v>
      </c>
      <c r="I64" s="80">
        <f t="shared" si="14"/>
        <v>56</v>
      </c>
      <c r="J64" s="104"/>
    </row>
    <row r="65" spans="1:10" x14ac:dyDescent="0.25">
      <c r="A65" s="80">
        <f t="shared" si="10"/>
        <v>57</v>
      </c>
      <c r="B65" s="156" t="s">
        <v>192</v>
      </c>
      <c r="C65" s="157">
        <v>2025</v>
      </c>
      <c r="D65" s="292"/>
      <c r="E65" s="97">
        <v>6.1999999999999998E-3</v>
      </c>
      <c r="F65" s="107">
        <f t="shared" si="18"/>
        <v>-23781.21434893167</v>
      </c>
      <c r="G65" s="145">
        <f t="shared" si="19"/>
        <v>-147.44352896337634</v>
      </c>
      <c r="H65" s="108">
        <f t="shared" si="20"/>
        <v>-23928.657877895046</v>
      </c>
      <c r="I65" s="80">
        <f t="shared" si="14"/>
        <v>57</v>
      </c>
      <c r="J65" s="104"/>
    </row>
    <row r="66" spans="1:10" x14ac:dyDescent="0.25">
      <c r="A66" s="80">
        <f t="shared" si="10"/>
        <v>58</v>
      </c>
      <c r="B66" s="156" t="s">
        <v>193</v>
      </c>
      <c r="C66" s="157">
        <v>2025</v>
      </c>
      <c r="D66" s="292"/>
      <c r="E66" s="97">
        <v>6.7999999999999996E-3</v>
      </c>
      <c r="F66" s="107">
        <f t="shared" si="18"/>
        <v>-23928.657877895046</v>
      </c>
      <c r="G66" s="145">
        <f t="shared" si="19"/>
        <v>-162.71487356968632</v>
      </c>
      <c r="H66" s="108">
        <f t="shared" si="20"/>
        <v>-24091.372751464733</v>
      </c>
      <c r="I66" s="80">
        <f t="shared" si="14"/>
        <v>58</v>
      </c>
      <c r="J66" s="104"/>
    </row>
    <row r="67" spans="1:10" x14ac:dyDescent="0.25">
      <c r="A67" s="80">
        <f t="shared" si="10"/>
        <v>59</v>
      </c>
      <c r="B67" s="156" t="s">
        <v>194</v>
      </c>
      <c r="C67" s="157">
        <v>2025</v>
      </c>
      <c r="D67" s="292"/>
      <c r="E67" s="97">
        <v>6.1999999999999998E-3</v>
      </c>
      <c r="F67" s="107">
        <f t="shared" si="18"/>
        <v>-24091.372751464733</v>
      </c>
      <c r="G67" s="145">
        <f t="shared" si="19"/>
        <v>-149.36651105908135</v>
      </c>
      <c r="H67" s="108">
        <f t="shared" si="20"/>
        <v>-24240.739262523814</v>
      </c>
      <c r="I67" s="80">
        <f t="shared" si="14"/>
        <v>59</v>
      </c>
      <c r="J67" s="104"/>
    </row>
    <row r="68" spans="1:10" x14ac:dyDescent="0.25">
      <c r="A68" s="80">
        <f t="shared" si="10"/>
        <v>60</v>
      </c>
      <c r="B68" s="156" t="s">
        <v>195</v>
      </c>
      <c r="C68" s="157">
        <v>2025</v>
      </c>
      <c r="D68" s="292"/>
      <c r="E68" s="97">
        <v>6.4000000000000003E-3</v>
      </c>
      <c r="F68" s="107">
        <f t="shared" si="18"/>
        <v>-24240.739262523814</v>
      </c>
      <c r="G68" s="145">
        <f t="shared" si="19"/>
        <v>-155.14073128015241</v>
      </c>
      <c r="H68" s="108">
        <f t="shared" si="20"/>
        <v>-24395.879993803966</v>
      </c>
      <c r="I68" s="80">
        <f t="shared" si="14"/>
        <v>60</v>
      </c>
      <c r="J68" s="104"/>
    </row>
    <row r="69" spans="1:10" x14ac:dyDescent="0.25">
      <c r="A69" s="80">
        <f t="shared" si="10"/>
        <v>61</v>
      </c>
      <c r="B69" s="156" t="s">
        <v>196</v>
      </c>
      <c r="C69" s="157">
        <v>2025</v>
      </c>
      <c r="D69" s="292"/>
      <c r="E69" s="97">
        <v>6.1999999999999998E-3</v>
      </c>
      <c r="F69" s="107">
        <f t="shared" si="18"/>
        <v>-24395.879993803966</v>
      </c>
      <c r="G69" s="145">
        <f t="shared" si="19"/>
        <v>-151.2544559615846</v>
      </c>
      <c r="H69" s="108">
        <f t="shared" si="20"/>
        <v>-24547.134449765552</v>
      </c>
      <c r="I69" s="80">
        <f t="shared" si="14"/>
        <v>61</v>
      </c>
      <c r="J69" s="104"/>
    </row>
    <row r="70" spans="1:10" x14ac:dyDescent="0.25">
      <c r="A70" s="80">
        <f t="shared" si="10"/>
        <v>62</v>
      </c>
      <c r="B70" s="156" t="s">
        <v>197</v>
      </c>
      <c r="C70" s="157">
        <v>2025</v>
      </c>
      <c r="D70" s="292"/>
      <c r="E70" s="293">
        <v>6.7999999999999996E-3</v>
      </c>
      <c r="F70" s="107">
        <f t="shared" si="18"/>
        <v>-24547.134449765552</v>
      </c>
      <c r="G70" s="145">
        <f t="shared" si="19"/>
        <v>-166.92051425840575</v>
      </c>
      <c r="H70" s="108">
        <f t="shared" si="20"/>
        <v>-24714.054964023959</v>
      </c>
      <c r="I70" s="80">
        <f t="shared" si="14"/>
        <v>62</v>
      </c>
      <c r="J70" s="104"/>
    </row>
    <row r="71" spans="1:10" x14ac:dyDescent="0.25">
      <c r="A71" s="80">
        <f t="shared" si="10"/>
        <v>63</v>
      </c>
      <c r="B71" s="156" t="s">
        <v>198</v>
      </c>
      <c r="C71" s="157">
        <v>2025</v>
      </c>
      <c r="D71" s="292"/>
      <c r="E71" s="293">
        <v>6.7999999999999996E-3</v>
      </c>
      <c r="F71" s="107">
        <f t="shared" si="18"/>
        <v>-24714.054964023959</v>
      </c>
      <c r="G71" s="145">
        <f t="shared" si="19"/>
        <v>-168.0555737553629</v>
      </c>
      <c r="H71" s="108">
        <f t="shared" si="20"/>
        <v>-24882.110537779321</v>
      </c>
      <c r="I71" s="80">
        <f t="shared" si="14"/>
        <v>63</v>
      </c>
      <c r="J71" s="104"/>
    </row>
    <row r="72" spans="1:10" x14ac:dyDescent="0.25">
      <c r="A72" s="80">
        <f t="shared" si="10"/>
        <v>64</v>
      </c>
      <c r="B72" s="156" t="s">
        <v>199</v>
      </c>
      <c r="C72" s="157">
        <v>2025</v>
      </c>
      <c r="D72" s="292"/>
      <c r="E72" s="293">
        <v>6.7999999999999996E-3</v>
      </c>
      <c r="F72" s="107">
        <f t="shared" si="18"/>
        <v>-24882.110537779321</v>
      </c>
      <c r="G72" s="145">
        <f t="shared" si="19"/>
        <v>-169.19835165689938</v>
      </c>
      <c r="H72" s="108">
        <f t="shared" si="20"/>
        <v>-25051.308889436219</v>
      </c>
      <c r="I72" s="80">
        <f t="shared" si="14"/>
        <v>64</v>
      </c>
      <c r="J72" s="104"/>
    </row>
    <row r="73" spans="1:10" x14ac:dyDescent="0.25">
      <c r="A73" s="80">
        <f t="shared" si="10"/>
        <v>65</v>
      </c>
      <c r="B73" s="156" t="s">
        <v>200</v>
      </c>
      <c r="C73" s="157">
        <v>2025</v>
      </c>
      <c r="D73" s="292"/>
      <c r="E73" s="293">
        <v>6.7999999999999996E-3</v>
      </c>
      <c r="F73" s="107">
        <f t="shared" si="18"/>
        <v>-25051.308889436219</v>
      </c>
      <c r="G73" s="145">
        <f t="shared" si="19"/>
        <v>-170.34890044816629</v>
      </c>
      <c r="H73" s="108">
        <f t="shared" si="20"/>
        <v>-25221.657789884386</v>
      </c>
      <c r="I73" s="80">
        <f t="shared" si="14"/>
        <v>65</v>
      </c>
      <c r="J73" s="104"/>
    </row>
    <row r="74" spans="1:10" x14ac:dyDescent="0.25">
      <c r="A74" s="80">
        <f t="shared" si="10"/>
        <v>66</v>
      </c>
      <c r="B74" s="156" t="s">
        <v>201</v>
      </c>
      <c r="C74" s="157">
        <v>2025</v>
      </c>
      <c r="D74" s="292"/>
      <c r="E74" s="293">
        <v>6.7999999999999996E-3</v>
      </c>
      <c r="F74" s="107">
        <f t="shared" si="18"/>
        <v>-25221.657789884386</v>
      </c>
      <c r="G74" s="145">
        <f t="shared" si="19"/>
        <v>-171.50727297121381</v>
      </c>
      <c r="H74" s="108">
        <f t="shared" si="20"/>
        <v>-25393.165062855602</v>
      </c>
      <c r="I74" s="80">
        <f t="shared" si="14"/>
        <v>66</v>
      </c>
      <c r="J74" s="104"/>
    </row>
    <row r="75" spans="1:10" x14ac:dyDescent="0.25">
      <c r="A75" s="80">
        <f t="shared" si="10"/>
        <v>67</v>
      </c>
      <c r="B75" s="158" t="s">
        <v>202</v>
      </c>
      <c r="C75" s="159">
        <v>2025</v>
      </c>
      <c r="D75" s="294"/>
      <c r="E75" s="295">
        <v>6.7999999999999996E-3</v>
      </c>
      <c r="F75" s="102">
        <f t="shared" si="18"/>
        <v>-25393.165062855602</v>
      </c>
      <c r="G75" s="144">
        <f t="shared" si="19"/>
        <v>-172.67352242741808</v>
      </c>
      <c r="H75" s="106">
        <f t="shared" si="20"/>
        <v>-25565.838585283022</v>
      </c>
      <c r="I75" s="80">
        <f t="shared" si="14"/>
        <v>67</v>
      </c>
      <c r="J75" s="104"/>
    </row>
    <row r="76" spans="1:10" ht="16.5" thickBot="1" x14ac:dyDescent="0.3">
      <c r="A76" s="80">
        <f t="shared" si="10"/>
        <v>68</v>
      </c>
      <c r="D76" s="146">
        <f>SUM(D16:D75)</f>
        <v>-19055.781399849104</v>
      </c>
      <c r="E76" s="109"/>
      <c r="F76" s="110"/>
      <c r="G76" s="142">
        <f>SUM(G16:G75)</f>
        <v>-6510.0571854339041</v>
      </c>
      <c r="H76" s="111"/>
      <c r="I76" s="80">
        <f t="shared" si="14"/>
        <v>68</v>
      </c>
    </row>
    <row r="77" spans="1:10" ht="16.5" thickTop="1" x14ac:dyDescent="0.25">
      <c r="D77" s="112"/>
      <c r="E77" s="112"/>
      <c r="F77" s="112"/>
      <c r="G77" s="113"/>
      <c r="H77" s="113"/>
    </row>
    <row r="78" spans="1:10" ht="18.75" x14ac:dyDescent="0.25">
      <c r="A78" s="114">
        <v>1</v>
      </c>
      <c r="B78" s="86" t="s">
        <v>203</v>
      </c>
      <c r="C78" s="115"/>
    </row>
    <row r="79" spans="1:10" ht="18.75" x14ac:dyDescent="0.25">
      <c r="A79" s="114">
        <v>2</v>
      </c>
      <c r="B79" s="86" t="s">
        <v>204</v>
      </c>
    </row>
    <row r="80" spans="1:10" ht="18.75" x14ac:dyDescent="0.25">
      <c r="A80" s="114">
        <v>3</v>
      </c>
      <c r="B80" s="86" t="s">
        <v>205</v>
      </c>
    </row>
    <row r="81" spans="1:3" x14ac:dyDescent="0.25">
      <c r="B81" s="86" t="s">
        <v>206</v>
      </c>
    </row>
    <row r="82" spans="1:3" x14ac:dyDescent="0.25">
      <c r="A82" s="151"/>
      <c r="B82" s="152" t="s">
        <v>232</v>
      </c>
      <c r="C82" s="152"/>
    </row>
    <row r="83" spans="1:3" x14ac:dyDescent="0.25">
      <c r="A83" s="149"/>
      <c r="B83" s="150" t="s">
        <v>231</v>
      </c>
      <c r="C83" s="150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60" t="s">
        <v>234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d3533485-01ac-4c85-a144-d07c02817ce0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c4548d-ff52-42f9-a254-3bffe515715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40D612C-19DC-4584-90CF-D4E17E9FF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C5 FERC Adder Refund</vt:lpstr>
      <vt:lpstr>Pg2 BK-1 Comparison TO5 C5 </vt:lpstr>
      <vt:lpstr>Pg3 BK-1 TO5 C5_Revised</vt:lpstr>
      <vt:lpstr>Pg4 BK-1 TO5 C5_As Filed</vt:lpstr>
      <vt:lpstr>Pg5 Rev Stmt AV</vt:lpstr>
      <vt:lpstr>Pg6 Stmt AV_As Filed</vt:lpstr>
      <vt:lpstr>Pg7 TO5 C5 Int Calc</vt:lpstr>
      <vt:lpstr>FERC Interest Rates</vt:lpstr>
      <vt:lpstr>'Pg2 BK-1 Comparison TO5 C5 '!Print_Area</vt:lpstr>
      <vt:lpstr>'Pg4 BK-1 TO5 C5_As Filed'!Print_Area</vt:lpstr>
      <vt:lpstr>'Pg5 Rev Stmt AV'!Print_Area</vt:lpstr>
      <vt:lpstr>'Pg6 Stmt AV_As Filed'!Print_Area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2025-06-10T13:39:51Z</cp:lastPrinted>
  <dcterms:created xsi:type="dcterms:W3CDTF">2021-03-15T20:20:03Z</dcterms:created>
  <dcterms:modified xsi:type="dcterms:W3CDTF">2025-06-10T13:39:59Z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